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8" activeTab="6"/>
  </bookViews>
  <sheets>
    <sheet name="Energy in Uranium" sheetId="1" r:id="rId1"/>
    <sheet name="Breeding Waste" sheetId="2" r:id="rId2"/>
    <sheet name="Waste per person" sheetId="3" r:id="rId3"/>
    <sheet name="Uranium reserves" sheetId="4" r:id="rId4"/>
    <sheet name="Land Use" sheetId="5" r:id="rId5"/>
    <sheet name="share of nuclear" sheetId="6" r:id="rId6"/>
    <sheet name="Scale of nuclear" sheetId="7" r:id="rId7"/>
    <sheet name="Cap factors" sheetId="8" r:id="rId8"/>
  </sheets>
  <definedNames>
    <definedName name="_xlnm.Print_Area" localSheetId="5">'share of nuclear'!$A$35</definedName>
  </definedNames>
  <calcPr fullCalcOnLoad="1"/>
</workbook>
</file>

<file path=xl/sharedStrings.xml><?xml version="1.0" encoding="utf-8"?>
<sst xmlns="http://schemas.openxmlformats.org/spreadsheetml/2006/main" count="269" uniqueCount="213">
  <si>
    <t>(1) energy In fission</t>
  </si>
  <si>
    <t xml:space="preserve">Energy / fission </t>
  </si>
  <si>
    <t>MeV</t>
  </si>
  <si>
    <t>Energy/fission</t>
  </si>
  <si>
    <t>J</t>
  </si>
  <si>
    <t>(2) atoms of U in stuff</t>
  </si>
  <si>
    <t xml:space="preserve">At 100% eff. </t>
  </si>
  <si>
    <t>mass</t>
  </si>
  <si>
    <t>enrichment</t>
  </si>
  <si>
    <t>atomic weight</t>
  </si>
  <si>
    <t>moles of U-238</t>
  </si>
  <si>
    <t>moles of U-235</t>
  </si>
  <si>
    <t>atoms of U</t>
  </si>
  <si>
    <t>atoms of U235</t>
  </si>
  <si>
    <t>energy released (energy density) (MJ)</t>
  </si>
  <si>
    <t>Thermal efficiency</t>
  </si>
  <si>
    <t>Electrical energy (MJ)</t>
  </si>
  <si>
    <t>100W lb time (s)</t>
  </si>
  <si>
    <t>(yr)</t>
  </si>
  <si>
    <t>Could run entire USA in 2006 for (yr)</t>
  </si>
  <si>
    <t>(s)</t>
  </si>
  <si>
    <t>lightbulb years</t>
  </si>
  <si>
    <t>US seconds</t>
  </si>
  <si>
    <t>1g natural uranium</t>
  </si>
  <si>
    <t>1kg of nat. uranium</t>
  </si>
  <si>
    <t>1kg of R.G. uranium</t>
  </si>
  <si>
    <t>1kg of W.G. U</t>
  </si>
  <si>
    <t>Assumes 100% efficiency</t>
  </si>
  <si>
    <t>ref?</t>
  </si>
  <si>
    <t>Energy density</t>
  </si>
  <si>
    <t>100W time (1kg)</t>
  </si>
  <si>
    <t>years</t>
  </si>
  <si>
    <t>Wood</t>
  </si>
  <si>
    <t>Ethanol</t>
  </si>
  <si>
    <t>Coal</t>
  </si>
  <si>
    <t>Crude Oil</t>
  </si>
  <si>
    <t>Diesel</t>
  </si>
  <si>
    <t>Nat. U</t>
  </si>
  <si>
    <t>from wikipedia</t>
  </si>
  <si>
    <t>MJ/kg</t>
  </si>
  <si>
    <t>Gasoline</t>
  </si>
  <si>
    <t>Anthracite coal</t>
  </si>
  <si>
    <t>(up to 17)</t>
  </si>
  <si>
    <t>Calculation of amount of time we could run the USA on nuclear waste alone</t>
  </si>
  <si>
    <t>US yearly power consumption</t>
  </si>
  <si>
    <t>thousand-MW-hours/year</t>
  </si>
  <si>
    <t>J/year</t>
  </si>
  <si>
    <t>in year 2002</t>
  </si>
  <si>
    <t>Time of running the USA off waste</t>
  </si>
  <si>
    <t>Source: http://www.eia.doe.gov/cneaf/electricity/epa/epates.html</t>
  </si>
  <si>
    <t>Amount of accumulated nuclear waste</t>
  </si>
  <si>
    <t>mass of U (MT)</t>
  </si>
  <si>
    <t>mass of U(g)</t>
  </si>
  <si>
    <t>moles</t>
  </si>
  <si>
    <t>atoms</t>
  </si>
  <si>
    <t>energy (MeV)</t>
  </si>
  <si>
    <t>energy (J)</t>
  </si>
  <si>
    <t>thermal efficiency</t>
  </si>
  <si>
    <t>Source: http://www.eia.doe.gov/cneaf/nuclear/spent_fuel/ussnfdata.html</t>
  </si>
  <si>
    <t>(Assumes all Uranium is either bred to Plutonium and burnt in regular reactors or directly fissioned in fast reactors. )</t>
  </si>
  <si>
    <t>(as of 2002)</t>
  </si>
  <si>
    <t>Calculation of how much nuclear waste each person would generate if we were 100% nuclear</t>
  </si>
  <si>
    <t>2002 discharge (MT)</t>
  </si>
  <si>
    <t>2002 Avg. burnup (GWdt/MT)</t>
  </si>
  <si>
    <t>Power generated GWdt</t>
  </si>
  <si>
    <t>electricity generated</t>
  </si>
  <si>
    <t>metric tonnes</t>
  </si>
  <si>
    <t>BWR</t>
  </si>
  <si>
    <t>PWR</t>
  </si>
  <si>
    <t>Total</t>
  </si>
  <si>
    <t>Gwde</t>
  </si>
  <si>
    <t>eff</t>
  </si>
  <si>
    <t>( from jcdavis spreadsheet 2003 IEA)</t>
  </si>
  <si>
    <t>2002 Electricity use:</t>
  </si>
  <si>
    <t>billion kW-h</t>
  </si>
  <si>
    <t>http://www.eia.doe.gov/emeu/aer/txt/ptb0802a.html</t>
  </si>
  <si>
    <t>Joules</t>
  </si>
  <si>
    <t>2002 US population</t>
  </si>
  <si>
    <t>people</t>
  </si>
  <si>
    <t>http://factfinder.census.gov/servlet/DTTable?_bm=y&amp;-geo_id=01000US&amp;-ds_name=PEP_2006_EST&amp;-mt_name=PEP_2006_EST_G2006_T001</t>
  </si>
  <si>
    <t>energy use per capita</t>
  </si>
  <si>
    <t>J/yr/person</t>
  </si>
  <si>
    <t>Watts / person</t>
  </si>
  <si>
    <t>People/GW</t>
  </si>
  <si>
    <t>(1 GW plant services this many people ON AVERAGE. City usage is probably higher)</t>
  </si>
  <si>
    <t>nuke wast. Gen. rate</t>
  </si>
  <si>
    <t>MT / J</t>
  </si>
  <si>
    <t>g/J</t>
  </si>
  <si>
    <t>MT/yr</t>
  </si>
  <si>
    <t>if 100% nuclear</t>
  </si>
  <si>
    <t>at 20% nuclear</t>
  </si>
  <si>
    <t>kg/day/reactor</t>
  </si>
  <si>
    <t>assuming 104 reactors</t>
  </si>
  <si>
    <t>waste / person</t>
  </si>
  <si>
    <t>MT /yr/ person</t>
  </si>
  <si>
    <t>At 100% nuclear</t>
  </si>
  <si>
    <t>kg /yr/person</t>
  </si>
  <si>
    <t>g / yr/person</t>
  </si>
  <si>
    <t>Carbon / person</t>
  </si>
  <si>
    <t>2002 emission from electric plants in 2002:</t>
  </si>
  <si>
    <t>thousands of tonnes</t>
  </si>
  <si>
    <t>grams</t>
  </si>
  <si>
    <t>assuming 100% fossil:</t>
  </si>
  <si>
    <t>grams / person</t>
  </si>
  <si>
    <t>grams/person/yr</t>
  </si>
  <si>
    <t>kg/person/yr</t>
  </si>
  <si>
    <t>Red book 2005</t>
  </si>
  <si>
    <t>80/kg</t>
  </si>
  <si>
    <t>130/kgU</t>
  </si>
  <si>
    <t>undiscovered</t>
  </si>
  <si>
    <t>reserve</t>
  </si>
  <si>
    <t>tonnes</t>
  </si>
  <si>
    <t>time</t>
  </si>
  <si>
    <t>total time</t>
  </si>
  <si>
    <t>demand</t>
  </si>
  <si>
    <t>tonnes/yr</t>
  </si>
  <si>
    <t>1 plant</t>
  </si>
  <si>
    <t>W</t>
  </si>
  <si>
    <t>solar</t>
  </si>
  <si>
    <t>energy density</t>
  </si>
  <si>
    <t>W/m^2</t>
  </si>
  <si>
    <t>efficiency</t>
  </si>
  <si>
    <t>land use</t>
  </si>
  <si>
    <t>m^2</t>
  </si>
  <si>
    <t>acres</t>
  </si>
  <si>
    <t>square miles</t>
  </si>
  <si>
    <t>nuclear</t>
  </si>
  <si>
    <t>Michigan</t>
  </si>
  <si>
    <t>Solar incidence</t>
  </si>
  <si>
    <t>kWh/m^2/day</t>
  </si>
  <si>
    <t>J/s</t>
  </si>
  <si>
    <t>kWh/m^2/yr</t>
  </si>
  <si>
    <t>J/yr</t>
  </si>
  <si>
    <t>J/m^2/yr</t>
  </si>
  <si>
    <t>power/yr equiv. area</t>
  </si>
  <si>
    <t>(uses same e as above)</t>
  </si>
  <si>
    <t>area needed for solar power to make as much as 1 nuclear plant</t>
  </si>
  <si>
    <t>Arizona</t>
  </si>
  <si>
    <t>solar incidence from http://www.nrel.gov/gis/images/us_pv_annual_may2004.jpg</t>
  </si>
  <si>
    <t>Table 2.2.  Existing Capacity by Energy Source, 2006</t>
  </si>
  <si>
    <t>(Megawatts)</t>
  </si>
  <si>
    <t>Energy Source</t>
  </si>
  <si>
    <t xml:space="preserve">Number of </t>
  </si>
  <si>
    <t xml:space="preserve">Generator Nameplate Capacity </t>
  </si>
  <si>
    <t>Net Summer Capacity</t>
  </si>
  <si>
    <t xml:space="preserve">summer </t>
  </si>
  <si>
    <t xml:space="preserve">Net Winter </t>
  </si>
  <si>
    <t>winter</t>
  </si>
  <si>
    <t>Generators</t>
  </si>
  <si>
    <t>percent</t>
  </si>
  <si>
    <t>Capacity</t>
  </si>
  <si>
    <t>Coal[1]</t>
  </si>
  <si>
    <t>Petroleum[2]</t>
  </si>
  <si>
    <t>Natural Gas[3]</t>
  </si>
  <si>
    <t>Other Gases[4]</t>
  </si>
  <si>
    <t>Nuclear</t>
  </si>
  <si>
    <t>This is GENERATING capacity!</t>
  </si>
  <si>
    <t>Hydroelectric Conventional[5]</t>
  </si>
  <si>
    <t>Other Renewables[6]</t>
  </si>
  <si>
    <t>Pumped Storage</t>
  </si>
  <si>
    <t>Other[7]</t>
  </si>
  <si>
    <t>Table 1.1.  Net Generation by Energy Source by Type of Producer, 1995 through 2006</t>
  </si>
  <si>
    <t>Actual generation!</t>
  </si>
  <si>
    <t>(Thousand Megawatthours)</t>
  </si>
  <si>
    <t>2006 (thousand MWh)</t>
  </si>
  <si>
    <t>Petroleum [2]</t>
  </si>
  <si>
    <t>Natural Gas</t>
  </si>
  <si>
    <t>Other Gases[3]</t>
  </si>
  <si>
    <t>Hydroelectric Conventional[4]</t>
  </si>
  <si>
    <t>Other Renewables[5]</t>
  </si>
  <si>
    <t>Hydroelectric Pumped Storage[6]</t>
  </si>
  <si>
    <t>total</t>
  </si>
  <si>
    <t>1 GW plant</t>
  </si>
  <si>
    <t>how much power is this really?</t>
  </si>
  <si>
    <t xml:space="preserve">weight of a Nimitz aircraft carrier </t>
  </si>
  <si>
    <t>http://en.wikipedia.org/wiki/Nimitz_class_aircraft_carrier</t>
  </si>
  <si>
    <t>tons</t>
  </si>
  <si>
    <t>fully loaded</t>
  </si>
  <si>
    <t>kg</t>
  </si>
  <si>
    <t>Power of plant</t>
  </si>
  <si>
    <t>time in night</t>
  </si>
  <si>
    <t>hr</t>
  </si>
  <si>
    <t>s</t>
  </si>
  <si>
    <t>energy</t>
  </si>
  <si>
    <t>height of burj Dubai</t>
  </si>
  <si>
    <t>m</t>
  </si>
  <si>
    <t>to top of spire</t>
  </si>
  <si>
    <t>http://en.wikipedia.org/wiki/Burj_dubai</t>
  </si>
  <si>
    <t>g</t>
  </si>
  <si>
    <t>m/s^2</t>
  </si>
  <si>
    <t>g*h</t>
  </si>
  <si>
    <t>aircraft carriers</t>
  </si>
  <si>
    <t>How much uranium is that?</t>
  </si>
  <si>
    <t>33% efficient</t>
  </si>
  <si>
    <t>Natural</t>
  </si>
  <si>
    <t>RG</t>
  </si>
  <si>
    <t>WG</t>
  </si>
  <si>
    <t>Year</t>
  </si>
  <si>
    <t>Electricity</t>
  </si>
  <si>
    <t>Net</t>
  </si>
  <si>
    <t>Generation</t>
  </si>
  <si>
    <t>Share</t>
  </si>
  <si>
    <t>of</t>
  </si>
  <si>
    <t>Summer</t>
  </si>
  <si>
    <t>Operable</t>
  </si>
  <si>
    <t>Units</t>
  </si>
  <si>
    <t>Factor</t>
  </si>
  <si>
    <t>Billion</t>
  </si>
  <si>
    <t>Kilowatthours</t>
  </si>
  <si>
    <t>Percent</t>
  </si>
  <si>
    <t>Million</t>
  </si>
  <si>
    <t>Kilowatts</t>
  </si>
  <si>
    <t>NA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</si>
</sst>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#"/>
    <numFmt numFmtId="166" formatCode="0.0000E+00"/>
    <numFmt numFmtId="167" formatCode="0.00E+00"/>
    <numFmt numFmtId="168" formatCode="0.0"/>
    <numFmt numFmtId="169" formatCode="GENERAL"/>
    <numFmt numFmtId="170" formatCode="0.00E+000"/>
    <numFmt numFmtId="171" formatCode="#,##0"/>
    <numFmt numFmtId="172" formatCode="0"/>
    <numFmt numFmtId="173" formatCode="0.000E+00"/>
    <numFmt numFmtId="174" formatCode="#,##0.00"/>
    <numFmt numFmtId="175" formatCode="0.00"/>
    <numFmt numFmtId="176" formatCode="0.00%"/>
  </numFmts>
  <fonts count="18">
    <font>
      <sz val="11"/>
      <color indexed="8"/>
      <name val="Calibri"/>
      <family val="0"/>
    </font>
    <font>
      <sz val="10"/>
      <name val="Arial"/>
      <family val="0"/>
    </font>
    <font>
      <sz val="11"/>
      <color indexed="17"/>
      <name val="Calibri"/>
      <family val="0"/>
    </font>
    <font>
      <u val="single"/>
      <sz val="10"/>
      <color indexed="12"/>
      <name val="Arial"/>
      <family val="2"/>
    </font>
    <font>
      <u val="single"/>
      <sz val="11"/>
      <color indexed="8"/>
      <name val="Calibri"/>
      <family val="0"/>
    </font>
    <font>
      <b/>
      <sz val="11"/>
      <color indexed="8"/>
      <name val="Calibri"/>
      <family val="0"/>
    </font>
    <font>
      <b/>
      <sz val="11"/>
      <color indexed="17"/>
      <name val="Calibri"/>
      <family val="0"/>
    </font>
    <font>
      <sz val="7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12"/>
      <color indexed="8"/>
      <name val="Calibri"/>
      <family val="0"/>
    </font>
    <font>
      <sz val="5"/>
      <color indexed="8"/>
      <name val="Arial"/>
      <family val="2"/>
    </font>
    <font>
      <sz val="18"/>
      <name val="Calibri"/>
      <family val="2"/>
    </font>
    <font>
      <sz val="7"/>
      <name val="Arial"/>
      <family val="2"/>
    </font>
    <font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3" fillId="0" borderId="0" applyNumberFormat="0" applyFill="0" applyBorder="0" applyProtection="0">
      <alignment horizontal="left" wrapText="1"/>
    </xf>
  </cellStyleXfs>
  <cellXfs count="5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 wrapText="1"/>
    </xf>
    <xf numFmtId="164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 wrapText="1"/>
    </xf>
    <xf numFmtId="166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Font="1" applyAlignment="1">
      <alignment horizontal="center"/>
    </xf>
    <xf numFmtId="167" fontId="0" fillId="0" borderId="0" xfId="0" applyNumberFormat="1" applyFont="1" applyAlignment="1">
      <alignment horizontal="center"/>
    </xf>
    <xf numFmtId="164" fontId="0" fillId="0" borderId="0" xfId="0" applyAlignment="1">
      <alignment/>
    </xf>
    <xf numFmtId="170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4" fontId="4" fillId="0" borderId="0" xfId="0" applyFont="1" applyAlignment="1">
      <alignment/>
    </xf>
    <xf numFmtId="164" fontId="5" fillId="0" borderId="0" xfId="0" applyFont="1" applyAlignment="1">
      <alignment horizontal="center"/>
    </xf>
    <xf numFmtId="171" fontId="0" fillId="0" borderId="0" xfId="0" applyNumberFormat="1" applyFont="1" applyAlignment="1">
      <alignment/>
    </xf>
    <xf numFmtId="164" fontId="2" fillId="2" borderId="0" xfId="0" applyFont="1" applyFill="1" applyAlignment="1">
      <alignment/>
    </xf>
    <xf numFmtId="172" fontId="6" fillId="2" borderId="0" xfId="0" applyNumberFormat="1" applyFont="1" applyFill="1" applyAlignment="1">
      <alignment/>
    </xf>
    <xf numFmtId="173" fontId="0" fillId="0" borderId="0" xfId="0" applyNumberFormat="1" applyFont="1" applyAlignment="1">
      <alignment horizontal="center"/>
    </xf>
    <xf numFmtId="174" fontId="7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75" fontId="2" fillId="2" borderId="0" xfId="0" applyNumberFormat="1" applyFont="1" applyFill="1" applyAlignment="1">
      <alignment/>
    </xf>
    <xf numFmtId="164" fontId="5" fillId="0" borderId="0" xfId="0" applyFont="1" applyAlignment="1">
      <alignment/>
    </xf>
    <xf numFmtId="167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4" fontId="0" fillId="0" borderId="0" xfId="0" applyAlignment="1">
      <alignment horizontal="right"/>
    </xf>
    <xf numFmtId="164" fontId="0" fillId="0" borderId="0" xfId="0" applyFont="1" applyAlignment="1">
      <alignment horizontal="right"/>
    </xf>
    <xf numFmtId="165" fontId="0" fillId="0" borderId="0" xfId="0" applyNumberFormat="1" applyFont="1" applyAlignment="1">
      <alignment wrapText="1"/>
    </xf>
    <xf numFmtId="164" fontId="8" fillId="0" borderId="0" xfId="0" applyFont="1" applyAlignment="1">
      <alignment horizontal="left"/>
    </xf>
    <xf numFmtId="164" fontId="9" fillId="0" borderId="0" xfId="0" applyFont="1" applyAlignment="1">
      <alignment horizontal="left"/>
    </xf>
    <xf numFmtId="164" fontId="10" fillId="0" borderId="1" xfId="0" applyFont="1" applyBorder="1" applyAlignment="1">
      <alignment horizontal="left" wrapText="1"/>
    </xf>
    <xf numFmtId="164" fontId="10" fillId="0" borderId="2" xfId="0" applyFont="1" applyBorder="1" applyAlignment="1">
      <alignment horizontal="center" wrapText="1"/>
    </xf>
    <xf numFmtId="164" fontId="10" fillId="0" borderId="3" xfId="0" applyFont="1" applyBorder="1" applyAlignment="1">
      <alignment horizontal="center" wrapText="1"/>
    </xf>
    <xf numFmtId="164" fontId="10" fillId="0" borderId="4" xfId="0" applyFont="1" applyBorder="1" applyAlignment="1">
      <alignment horizontal="center" wrapText="1"/>
    </xf>
    <xf numFmtId="164" fontId="10" fillId="0" borderId="5" xfId="0" applyFont="1" applyBorder="1" applyAlignment="1">
      <alignment horizontal="center" wrapText="1"/>
    </xf>
    <xf numFmtId="164" fontId="10" fillId="0" borderId="6" xfId="0" applyFont="1" applyBorder="1" applyAlignment="1">
      <alignment horizontal="center" wrapText="1"/>
    </xf>
    <xf numFmtId="164" fontId="3" fillId="0" borderId="0" xfId="0" applyFont="1" applyAlignment="1">
      <alignment horizontal="left" wrapText="1"/>
    </xf>
    <xf numFmtId="171" fontId="0" fillId="0" borderId="0" xfId="0" applyNumberFormat="1" applyFont="1" applyAlignment="1">
      <alignment horizontal="right" wrapText="1"/>
    </xf>
    <xf numFmtId="176" fontId="0" fillId="0" borderId="0" xfId="0" applyNumberFormat="1" applyFont="1" applyAlignment="1">
      <alignment/>
    </xf>
    <xf numFmtId="164" fontId="0" fillId="0" borderId="0" xfId="0" applyFont="1" applyAlignment="1">
      <alignment horizontal="right" wrapText="1"/>
    </xf>
    <xf numFmtId="164" fontId="11" fillId="0" borderId="0" xfId="0" applyFont="1" applyAlignment="1">
      <alignment horizontal="left" wrapText="1"/>
    </xf>
    <xf numFmtId="164" fontId="12" fillId="0" borderId="0" xfId="0" applyFont="1" applyAlignment="1">
      <alignment horizontal="left" wrapText="1"/>
    </xf>
    <xf numFmtId="171" fontId="5" fillId="0" borderId="0" xfId="0" applyNumberFormat="1" applyFont="1" applyAlignment="1">
      <alignment horizontal="right" wrapText="1"/>
    </xf>
    <xf numFmtId="164" fontId="12" fillId="0" borderId="7" xfId="0" applyFont="1" applyBorder="1" applyAlignment="1">
      <alignment horizontal="left" wrapText="1"/>
    </xf>
    <xf numFmtId="164" fontId="11" fillId="0" borderId="7" xfId="0" applyFont="1" applyBorder="1" applyAlignment="1">
      <alignment horizontal="right" wrapText="1"/>
    </xf>
    <xf numFmtId="164" fontId="3" fillId="0" borderId="0" xfId="0" applyFont="1" applyAlignment="1">
      <alignment horizontal="right"/>
    </xf>
    <xf numFmtId="164" fontId="13" fillId="0" borderId="0" xfId="0" applyFont="1" applyAlignment="1">
      <alignment/>
    </xf>
    <xf numFmtId="175" fontId="5" fillId="0" borderId="0" xfId="0" applyNumberFormat="1" applyFont="1" applyAlignment="1">
      <alignment/>
    </xf>
    <xf numFmtId="164" fontId="7" fillId="0" borderId="0" xfId="0" applyFont="1" applyAlignment="1">
      <alignment/>
    </xf>
    <xf numFmtId="164" fontId="1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Good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100"/>
      <rgbColor rgb="00000080"/>
      <rgbColor rgb="00808000"/>
      <rgbColor rgb="00800080"/>
      <rgbColor rgb="00008080"/>
      <rgbColor rgb="00C0C0C0"/>
      <rgbColor rgb="00898989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6EFCE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latin typeface="Calibri"/>
                <a:ea typeface="Calibri"/>
                <a:cs typeface="Calibri"/>
              </a:rPr>
              <a:t>Nuclear Capacity Factors since 1973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smooth val="0"/>
        </c:ser>
        <c:axId val="1269113"/>
        <c:axId val="11422018"/>
      </c:scatterChart>
      <c:valAx>
        <c:axId val="126911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/>
            </a:pPr>
          </a:p>
        </c:txPr>
        <c:crossAx val="11422018"/>
        <c:crosses val="autoZero"/>
        <c:crossBetween val="midCat"/>
        <c:dispUnits/>
      </c:valAx>
      <c:valAx>
        <c:axId val="114220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0" i="0" u="none" baseline="0"/>
                  <a:t>Capacity factor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/>
            </a:pPr>
          </a:p>
        </c:txPr>
        <c:crossAx val="1269113"/>
        <c:crosses val="autoZero"/>
        <c:crossBetween val="midCat"/>
        <c:dispUnits/>
      </c:valAx>
      <c:spPr>
        <a:ln w="3175">
          <a:noFill/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26</xdr:row>
      <xdr:rowOff>142875</xdr:rowOff>
    </xdr:from>
    <xdr:to>
      <xdr:col>15</xdr:col>
      <xdr:colOff>38100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3400425" y="5095875"/>
        <a:ext cx="33528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nrel.gov/gis/images/us_pv_annual_may2004.jpg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eia.doe.gov/cneaf/electricity/epa/epat1p1.html" TargetMode="External" /><Relationship Id="rId2" Type="http://schemas.openxmlformats.org/officeDocument/2006/relationships/hyperlink" Target="http://www.eia.doe.gov/cneaf/electricity/epa/epat1p1.html" TargetMode="External" /><Relationship Id="rId3" Type="http://schemas.openxmlformats.org/officeDocument/2006/relationships/hyperlink" Target="http://www.eia.doe.gov/cneaf/electricity/epa/epat1p1.html" TargetMode="External" /><Relationship Id="rId4" Type="http://schemas.openxmlformats.org/officeDocument/2006/relationships/hyperlink" Target="http://www.eia.doe.gov/cneaf/electricity/epa/epat1p1.html" TargetMode="External" /><Relationship Id="rId5" Type="http://schemas.openxmlformats.org/officeDocument/2006/relationships/hyperlink" Target="http://www.eia.doe.gov/cneaf/electricity/epa/epat1p1.html" TargetMode="External" /><Relationship Id="rId6" Type="http://schemas.openxmlformats.org/officeDocument/2006/relationships/hyperlink" Target="http://www.eia.doe.gov/cneaf/electricity/epa/epat1p1.html" TargetMode="External" /><Relationship Id="rId7" Type="http://schemas.openxmlformats.org/officeDocument/2006/relationships/hyperlink" Target="http://www.eia.doe.gov/cneaf/electricity/epa/epat1p1.html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zoomScaleSheetLayoutView="100" workbookViewId="0" topLeftCell="A1">
      <selection activeCell="I11" sqref="I11"/>
    </sheetView>
  </sheetViews>
  <sheetFormatPr defaultColWidth="6.8515625" defaultRowHeight="15"/>
  <cols>
    <col min="1" max="1" width="17.28125" style="0" customWidth="1"/>
    <col min="2" max="2" width="13.00390625" style="0" customWidth="1"/>
    <col min="3" max="3" width="15.57421875" style="0" customWidth="1"/>
    <col min="4" max="4" width="14.57421875" style="0" customWidth="1"/>
    <col min="5" max="5" width="13.7109375" style="0" customWidth="1"/>
    <col min="6" max="6" width="19.421875" style="0" customWidth="1"/>
    <col min="7" max="7" width="10.7109375" style="0" customWidth="1"/>
    <col min="8" max="8" width="17.28125" style="0" customWidth="1"/>
    <col min="9" max="9" width="15.28125" style="0" customWidth="1"/>
    <col min="10" max="10" width="10.00390625" style="0" customWidth="1"/>
    <col min="11" max="11" width="15.28125" style="0" customWidth="1"/>
    <col min="12" max="12" width="10.28125" style="0" customWidth="1"/>
    <col min="13" max="13" width="6.7109375" style="0" customWidth="1"/>
    <col min="14" max="14" width="10.7109375" style="0" customWidth="1"/>
    <col min="15" max="15" width="6.7109375" style="0" customWidth="1"/>
    <col min="16" max="16" width="14.00390625" style="0" customWidth="1"/>
    <col min="17" max="17" width="10.00390625" style="0" customWidth="1"/>
    <col min="18" max="16384" width="6.7109375" style="0" customWidth="1"/>
  </cols>
  <sheetData>
    <row r="1" s="1" customFormat="1" ht="15" customHeight="1"/>
    <row r="2" s="1" customFormat="1" ht="15" customHeight="1">
      <c r="A2" s="1" t="s">
        <v>0</v>
      </c>
    </row>
    <row r="3" spans="1:3" s="1" customFormat="1" ht="15" customHeight="1">
      <c r="A3" s="1" t="s">
        <v>1</v>
      </c>
      <c r="B3" s="1">
        <v>200</v>
      </c>
      <c r="C3" s="1" t="s">
        <v>2</v>
      </c>
    </row>
    <row r="4" spans="1:3" s="1" customFormat="1" ht="15" customHeight="1">
      <c r="A4" s="1" t="s">
        <v>3</v>
      </c>
      <c r="B4" s="1">
        <v>3.204E-11</v>
      </c>
      <c r="C4" s="1" t="s">
        <v>4</v>
      </c>
    </row>
    <row r="5" s="1" customFormat="1" ht="15" customHeight="1"/>
    <row r="6" spans="1:16" s="1" customFormat="1" ht="15" customHeight="1">
      <c r="A6" s="1" t="s">
        <v>5</v>
      </c>
      <c r="P6" s="1" t="s">
        <v>6</v>
      </c>
    </row>
    <row r="7" spans="2:17" s="1" customFormat="1" ht="46.5" customHeight="1">
      <c r="B7" s="1" t="s">
        <v>7</v>
      </c>
      <c r="C7" s="2" t="s">
        <v>8</v>
      </c>
      <c r="D7" s="2" t="s">
        <v>9</v>
      </c>
      <c r="E7" s="3" t="s">
        <v>10</v>
      </c>
      <c r="F7" s="3" t="s">
        <v>11</v>
      </c>
      <c r="G7" s="2" t="s">
        <v>12</v>
      </c>
      <c r="H7" s="2" t="s">
        <v>13</v>
      </c>
      <c r="I7" s="2" t="s">
        <v>14</v>
      </c>
      <c r="J7" s="4" t="s">
        <v>15</v>
      </c>
      <c r="K7" s="2" t="s">
        <v>16</v>
      </c>
      <c r="L7" s="2" t="s">
        <v>17</v>
      </c>
      <c r="M7" s="2" t="s">
        <v>18</v>
      </c>
      <c r="N7" s="2" t="s">
        <v>19</v>
      </c>
      <c r="O7" s="2" t="s">
        <v>20</v>
      </c>
      <c r="P7" t="s">
        <v>21</v>
      </c>
      <c r="Q7" s="1" t="s">
        <v>22</v>
      </c>
    </row>
    <row r="8" spans="1:17" s="1" customFormat="1" ht="15" customHeight="1">
      <c r="A8" s="1" t="s">
        <v>23</v>
      </c>
      <c r="B8" s="1">
        <v>1</v>
      </c>
      <c r="C8" s="3">
        <v>0.007</v>
      </c>
      <c r="D8" s="3">
        <f>235*C8+238*(1-C8)</f>
        <v>237.979</v>
      </c>
      <c r="E8" s="5">
        <f>B8*(1-C8)/238</f>
        <v>0.004172268907563025</v>
      </c>
      <c r="F8" s="5">
        <f>B8*C8/235</f>
        <v>2.9787234042553192E-05</v>
      </c>
      <c r="G8" s="3">
        <f>(E8+F8)*6.0219999999999996E+23</f>
        <v>2.5304782084748796E+21</v>
      </c>
      <c r="H8" s="3">
        <f>F8*6.0219999999999996E+23</f>
        <v>1.7937872340425531E+19</v>
      </c>
      <c r="I8" s="3">
        <f>H8*$B$4/1000000</f>
        <v>574.729429787234</v>
      </c>
      <c r="J8" s="3">
        <v>0.34</v>
      </c>
      <c r="K8" s="6">
        <f>I8*J8</f>
        <v>195.40800612765958</v>
      </c>
      <c r="L8" s="7">
        <f>K8*1000000/100</f>
        <v>1954080.0612765958</v>
      </c>
      <c r="M8" s="8">
        <f>L8/(3600*24*365.25)</f>
        <v>0.06192106057737584</v>
      </c>
      <c r="N8" s="9">
        <f>K8*1000000/'Waste per person'!$B$11</f>
        <v>1.4067643307536003E-11</v>
      </c>
      <c r="O8" s="1">
        <f>N8*3600*24*365.25</f>
        <v>0.0004439410604418982</v>
      </c>
      <c r="P8" s="1">
        <f>M8/J8</f>
        <v>0.1821207664040466</v>
      </c>
      <c r="Q8" s="1">
        <f>O8/J8</f>
        <v>0.0013057090012997003</v>
      </c>
    </row>
    <row r="9" spans="1:17" s="1" customFormat="1" ht="15" customHeight="1">
      <c r="A9" s="1" t="s">
        <v>24</v>
      </c>
      <c r="B9" s="1">
        <v>1000</v>
      </c>
      <c r="C9" s="3">
        <v>0.007</v>
      </c>
      <c r="D9" s="3">
        <f>235*C9+238*(1-C9)</f>
        <v>237.979</v>
      </c>
      <c r="E9" s="5">
        <f>B9*(1-C9)/238</f>
        <v>4.1722689075630255</v>
      </c>
      <c r="F9" s="5">
        <f>B9*C9/235</f>
        <v>0.029787234042553193</v>
      </c>
      <c r="G9" s="3">
        <f>(E9+F9)*6.0219999999999996E+23</f>
        <v>2.530478208474879E+24</v>
      </c>
      <c r="H9" s="3">
        <f>F9*6.0219999999999996E+23</f>
        <v>1.793787234042553E+22</v>
      </c>
      <c r="I9" s="3">
        <f>H9*$B$4/1000000</f>
        <v>574729.429787234</v>
      </c>
      <c r="J9" s="3">
        <v>0.34</v>
      </c>
      <c r="K9" s="6">
        <f>I9*J9</f>
        <v>195408.00612765958</v>
      </c>
      <c r="L9" s="7">
        <f>K9*1000000/100</f>
        <v>1954080061.2765958</v>
      </c>
      <c r="M9" s="8">
        <f>L9/(3600*24*365.25)</f>
        <v>61.92106057737584</v>
      </c>
      <c r="N9" s="9">
        <f>K9*1000000/'Waste per person'!$B$11</f>
        <v>1.4067643307536E-08</v>
      </c>
      <c r="O9" s="1">
        <f>N9*3600*24*365.25</f>
        <v>0.44394106044189807</v>
      </c>
      <c r="P9" s="1">
        <f>M9/J9</f>
        <v>182.12076640404658</v>
      </c>
      <c r="Q9" s="1">
        <f>O9/J9</f>
        <v>1.3057090012997001</v>
      </c>
    </row>
    <row r="10" spans="1:17" s="1" customFormat="1" ht="15" customHeight="1">
      <c r="A10" s="1" t="s">
        <v>25</v>
      </c>
      <c r="B10" s="1">
        <v>1000</v>
      </c>
      <c r="C10" s="3">
        <v>0.045</v>
      </c>
      <c r="D10" s="3">
        <f>235*C10+238*(1-C10)</f>
        <v>237.86499999999998</v>
      </c>
      <c r="E10" s="5">
        <f>B10*(1-C10)/238</f>
        <v>4.012605042016807</v>
      </c>
      <c r="F10" s="5">
        <f>B10*C10/235</f>
        <v>0.19148936170212766</v>
      </c>
      <c r="G10" s="3">
        <f>(E10+F10)*6.0219999999999996E+23</f>
        <v>2.531705649919542E+24</v>
      </c>
      <c r="H10" s="3">
        <f>F10*6.0219999999999996E+23</f>
        <v>1.1531489361702126E+23</v>
      </c>
      <c r="I10" s="3">
        <f>H10*$B$4/1000000</f>
        <v>3694689.191489361</v>
      </c>
      <c r="J10" s="3">
        <v>0.34</v>
      </c>
      <c r="K10" s="6">
        <f>I10*J10</f>
        <v>1256194.3251063828</v>
      </c>
      <c r="L10" s="7">
        <f>K10*1000000/100</f>
        <v>12561943251.063828</v>
      </c>
      <c r="M10" s="8">
        <f>L10/(3600*24*365.25)</f>
        <v>398.0639608545589</v>
      </c>
      <c r="N10" s="9">
        <f>K10*1000000/'Waste per person'!$B$11</f>
        <v>9.043484983415999E-08</v>
      </c>
      <c r="O10" s="1">
        <f>N10*3600*24*365.25</f>
        <v>2.8539068171264868</v>
      </c>
      <c r="P10" s="1">
        <f>M10/J10</f>
        <v>1170.776355454585</v>
      </c>
      <c r="Q10" s="1">
        <f>O10/J10</f>
        <v>8.393843579783784</v>
      </c>
    </row>
    <row r="11" spans="1:17" s="1" customFormat="1" ht="15" customHeight="1">
      <c r="A11" s="1" t="s">
        <v>26</v>
      </c>
      <c r="B11" s="1">
        <v>1000</v>
      </c>
      <c r="C11" s="3">
        <v>0.95</v>
      </c>
      <c r="D11" s="3">
        <f>235*C11+238*(1-C11)</f>
        <v>235.15</v>
      </c>
      <c r="E11" s="5">
        <f>B11*(1-C11)/238</f>
        <v>0.2100840336134451</v>
      </c>
      <c r="F11" s="5">
        <f>B11*C11/235</f>
        <v>4.042553191489362</v>
      </c>
      <c r="G11" s="3">
        <f>(E11+F11)*6.0219999999999996E+23</f>
        <v>2.5609381369569107E+24</v>
      </c>
      <c r="H11" s="3">
        <f>F11*6.0219999999999996E+23</f>
        <v>2.4344255319148936E+24</v>
      </c>
      <c r="I11" s="3">
        <f>H11*$B$4/1000000</f>
        <v>77998994.04255319</v>
      </c>
      <c r="J11" s="3">
        <v>0.34</v>
      </c>
      <c r="K11" s="6">
        <f>I11*J11</f>
        <v>26519657.974468086</v>
      </c>
      <c r="L11" s="7">
        <f>K11*1000000/100</f>
        <v>265196579744.68085</v>
      </c>
      <c r="M11" s="8">
        <f>L11/(3600*24*365.25)</f>
        <v>8403.572506929579</v>
      </c>
      <c r="N11" s="9">
        <f>K11*1000000/'Waste per person'!$B$11</f>
        <v>1.9091801631656E-06</v>
      </c>
      <c r="O11" s="1">
        <f>N11*3600*24*365.25</f>
        <v>60.24914391711474</v>
      </c>
      <c r="P11" s="1">
        <f>M11/J11</f>
        <v>24716.389726263464</v>
      </c>
      <c r="Q11" s="1">
        <f>O11/J11</f>
        <v>177.20336446210217</v>
      </c>
    </row>
    <row r="16" ht="15">
      <c r="A16" t="s">
        <v>27</v>
      </c>
    </row>
    <row r="17" ht="15">
      <c r="A17" t="s">
        <v>28</v>
      </c>
    </row>
    <row r="18" spans="2:4" ht="15">
      <c r="B18" t="s">
        <v>29</v>
      </c>
      <c r="C18" t="s">
        <v>30</v>
      </c>
      <c r="D18" t="s">
        <v>31</v>
      </c>
    </row>
    <row r="19" spans="1:4" ht="15">
      <c r="A19" t="s">
        <v>32</v>
      </c>
      <c r="B19">
        <v>10</v>
      </c>
      <c r="C19" s="10">
        <f>B19*1000000/100/(3600*24)</f>
        <v>1.1574074074074074</v>
      </c>
      <c r="D19" s="10">
        <f>C19/365.25</f>
        <v>0.003168808781402895</v>
      </c>
    </row>
    <row r="20" spans="1:4" ht="15">
      <c r="A20" t="s">
        <v>33</v>
      </c>
      <c r="B20">
        <v>26.8</v>
      </c>
      <c r="C20" s="10">
        <f>B20*1000000/100/(3600*24)</f>
        <v>3.1018518518518516</v>
      </c>
      <c r="D20" s="10">
        <f>C20/365.25</f>
        <v>0.008492407534159759</v>
      </c>
    </row>
    <row r="21" spans="1:4" ht="15">
      <c r="A21" t="s">
        <v>34</v>
      </c>
      <c r="B21">
        <v>32.5</v>
      </c>
      <c r="C21" s="10">
        <f>B21*1000000/100/(3600*24)</f>
        <v>3.761574074074074</v>
      </c>
      <c r="D21" s="10">
        <f>C21/365.25</f>
        <v>0.010298628539559408</v>
      </c>
    </row>
    <row r="22" spans="1:4" ht="15">
      <c r="A22" t="s">
        <v>35</v>
      </c>
      <c r="B22">
        <v>41.9</v>
      </c>
      <c r="C22" s="10">
        <f>B22*1000000/100/(3600*24)</f>
        <v>4.849537037037037</v>
      </c>
      <c r="D22" s="10">
        <f>C22/365.25</f>
        <v>0.013277308794078131</v>
      </c>
    </row>
    <row r="23" spans="1:4" ht="15">
      <c r="A23" t="s">
        <v>36</v>
      </c>
      <c r="B23">
        <v>45.8</v>
      </c>
      <c r="C23" s="10">
        <f>B23*1000000/100/(3600*24)</f>
        <v>5.300925925925926</v>
      </c>
      <c r="D23" s="10">
        <f>C23/365.25</f>
        <v>0.014513144218825259</v>
      </c>
    </row>
    <row r="24" spans="1:4" ht="15">
      <c r="A24" t="s">
        <v>37</v>
      </c>
      <c r="B24" s="11">
        <v>630000</v>
      </c>
      <c r="C24" s="10">
        <f>B24*1000000/100/(3600*24)</f>
        <v>72916.66666666667</v>
      </c>
      <c r="D24" s="10">
        <f>C24/365.25</f>
        <v>199.6349532283824</v>
      </c>
    </row>
    <row r="27" ht="15">
      <c r="A27" t="s">
        <v>38</v>
      </c>
    </row>
    <row r="28" ht="15">
      <c r="B28" t="s">
        <v>39</v>
      </c>
    </row>
    <row r="29" spans="1:2" ht="15">
      <c r="A29" t="s">
        <v>40</v>
      </c>
      <c r="B29" s="12">
        <v>46.4</v>
      </c>
    </row>
    <row r="30" spans="1:2" ht="15">
      <c r="A30" t="s">
        <v>36</v>
      </c>
      <c r="B30" s="12">
        <v>46.2</v>
      </c>
    </row>
    <row r="31" spans="1:2" ht="15">
      <c r="A31" t="s">
        <v>35</v>
      </c>
      <c r="B31" s="12">
        <v>46.3</v>
      </c>
    </row>
    <row r="32" spans="1:2" ht="15">
      <c r="A32" t="s">
        <v>41</v>
      </c>
      <c r="B32" s="12">
        <v>32.5</v>
      </c>
    </row>
    <row r="33" spans="1:5" ht="15">
      <c r="A33" t="s">
        <v>32</v>
      </c>
      <c r="B33">
        <v>6</v>
      </c>
      <c r="E33" t="s">
        <v>42</v>
      </c>
    </row>
  </sheetData>
  <sheetProtection/>
  <printOptions/>
  <pageMargins left="0.7" right="0.7" top="0.3986111111111111" bottom="0.3986111111111111" header="0.3" footer="0.3"/>
  <pageSetup firstPageNumber="1" useFirstPageNumber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SheetLayoutView="100" workbookViewId="0" topLeftCell="A1">
      <selection activeCell="B25" sqref="B25"/>
    </sheetView>
  </sheetViews>
  <sheetFormatPr defaultColWidth="6.8515625" defaultRowHeight="15"/>
  <cols>
    <col min="1" max="1" width="6.7109375" style="0" customWidth="1"/>
    <col min="2" max="2" width="23.00390625" style="0" customWidth="1"/>
    <col min="3" max="3" width="13.421875" style="0" customWidth="1"/>
    <col min="4" max="4" width="12.421875" style="0" customWidth="1"/>
    <col min="5" max="5" width="10.00390625" style="0" customWidth="1"/>
    <col min="6" max="6" width="11.8515625" style="0" customWidth="1"/>
    <col min="7" max="7" width="20.7109375" style="0" customWidth="1"/>
    <col min="8" max="8" width="16.140625" style="0" customWidth="1"/>
    <col min="9" max="9" width="9.7109375" style="0" customWidth="1"/>
    <col min="10" max="16384" width="6.7109375" style="0" customWidth="1"/>
  </cols>
  <sheetData>
    <row r="1" s="1" customFormat="1" ht="15" customHeight="1">
      <c r="C1" s="13" t="s">
        <v>43</v>
      </c>
    </row>
    <row r="2" s="1" customFormat="1" ht="15" customHeight="1"/>
    <row r="3" s="1" customFormat="1" ht="15" customHeight="1">
      <c r="B3" s="1" t="s">
        <v>44</v>
      </c>
    </row>
    <row r="4" spans="2:3" s="1" customFormat="1" ht="15" customHeight="1">
      <c r="B4" s="14" t="s">
        <v>45</v>
      </c>
      <c r="C4" s="14" t="s">
        <v>46</v>
      </c>
    </row>
    <row r="5" spans="1:5" s="1" customFormat="1" ht="15" customHeight="1">
      <c r="A5" s="1">
        <v>2002</v>
      </c>
      <c r="B5" s="15">
        <v>3858452</v>
      </c>
      <c r="C5" s="3">
        <v>1.38904272E+19</v>
      </c>
      <c r="E5" s="1" t="s">
        <v>47</v>
      </c>
    </row>
    <row r="6" spans="1:3" s="1" customFormat="1" ht="15" customHeight="1">
      <c r="A6" s="1">
        <v>2003</v>
      </c>
      <c r="B6" s="15">
        <v>3883185</v>
      </c>
      <c r="C6" s="3">
        <v>1.3979466E+19</v>
      </c>
    </row>
    <row r="7" spans="1:3" s="1" customFormat="1" ht="15" customHeight="1">
      <c r="A7" s="1">
        <v>2004</v>
      </c>
      <c r="B7" s="15">
        <v>3970555</v>
      </c>
      <c r="C7" s="3">
        <v>1.4293998000000002E+19</v>
      </c>
    </row>
    <row r="8" spans="1:3" s="1" customFormat="1" ht="15" customHeight="1">
      <c r="A8" s="1">
        <v>2005</v>
      </c>
      <c r="B8" s="15">
        <v>4055423</v>
      </c>
      <c r="C8" s="3">
        <v>1.45995228E+19</v>
      </c>
    </row>
    <row r="9" spans="1:3" s="1" customFormat="1" ht="15" customHeight="1">
      <c r="A9" s="1">
        <v>2006</v>
      </c>
      <c r="B9" s="15">
        <v>4064702</v>
      </c>
      <c r="C9" s="3">
        <v>1.46329272E+19</v>
      </c>
    </row>
    <row r="10" s="1" customFormat="1" ht="15" customHeight="1"/>
    <row r="11" s="1" customFormat="1" ht="15" customHeight="1"/>
    <row r="12" s="1" customFormat="1" ht="15" customHeight="1"/>
    <row r="13" s="1" customFormat="1" ht="15" customHeight="1"/>
    <row r="14" spans="7:9" s="1" customFormat="1" ht="15" customHeight="1">
      <c r="G14" s="16" t="s">
        <v>48</v>
      </c>
      <c r="H14" s="16"/>
      <c r="I14" s="16"/>
    </row>
    <row r="15" spans="2:9" s="1" customFormat="1" ht="15" customHeight="1">
      <c r="B15" s="1" t="s">
        <v>49</v>
      </c>
      <c r="G15" s="17">
        <v>93.3258729555643</v>
      </c>
      <c r="H15" s="16" t="s">
        <v>31</v>
      </c>
      <c r="I15" s="16"/>
    </row>
    <row r="16" s="1" customFormat="1" ht="15" customHeight="1"/>
    <row r="17" s="1" customFormat="1" ht="15" customHeight="1">
      <c r="B17" s="1" t="s">
        <v>50</v>
      </c>
    </row>
    <row r="18" spans="2:10" s="1" customFormat="1" ht="15" customHeight="1">
      <c r="B18" s="14" t="s">
        <v>51</v>
      </c>
      <c r="C18" s="14" t="s">
        <v>52</v>
      </c>
      <c r="D18" s="14" t="s">
        <v>53</v>
      </c>
      <c r="E18" s="14" t="s">
        <v>54</v>
      </c>
      <c r="F18" s="14" t="s">
        <v>55</v>
      </c>
      <c r="G18" s="14" t="s">
        <v>56</v>
      </c>
      <c r="H18" s="14" t="s">
        <v>57</v>
      </c>
      <c r="I18" s="14"/>
      <c r="J18" s="1">
        <v>-2002</v>
      </c>
    </row>
    <row r="19" spans="2:8" s="1" customFormat="1" ht="15" customHeight="1">
      <c r="B19" s="3">
        <v>47023</v>
      </c>
      <c r="C19" s="18">
        <v>47023000000</v>
      </c>
      <c r="D19" s="18">
        <v>197575630.252101</v>
      </c>
      <c r="E19" s="3">
        <v>1.1899980210084002E+32</v>
      </c>
      <c r="F19" s="3">
        <v>2.3799960420168097E+34</v>
      </c>
      <c r="G19" s="3">
        <v>3.81275365931092E+21</v>
      </c>
      <c r="H19" s="1">
        <v>0.34</v>
      </c>
    </row>
    <row r="20" s="1" customFormat="1" ht="15" customHeight="1">
      <c r="B20" s="1" t="s">
        <v>58</v>
      </c>
    </row>
    <row r="21" s="1" customFormat="1" ht="15" customHeight="1">
      <c r="H21" s="1" t="s">
        <v>59</v>
      </c>
    </row>
    <row r="22" s="1" customFormat="1" ht="15" customHeight="1">
      <c r="H22" s="1" t="s">
        <v>60</v>
      </c>
    </row>
    <row r="23" s="1" customFormat="1" ht="15" customHeight="1"/>
    <row r="24" s="1" customFormat="1" ht="15" customHeight="1"/>
    <row r="25" s="1" customFormat="1" ht="15" customHeight="1">
      <c r="C25" s="13"/>
    </row>
    <row r="26" s="1" customFormat="1" ht="15" customHeight="1"/>
    <row r="27" s="1" customFormat="1" ht="15" customHeight="1"/>
    <row r="28" spans="2:7" s="1" customFormat="1" ht="15" customHeight="1">
      <c r="B28" s="14"/>
      <c r="C28" s="14"/>
      <c r="D28" s="14"/>
      <c r="E28" s="14"/>
      <c r="F28" s="14"/>
      <c r="G28" s="14"/>
    </row>
    <row r="29" spans="2:7" s="1" customFormat="1" ht="15" customHeight="1">
      <c r="B29" s="3"/>
      <c r="C29" s="18"/>
      <c r="D29" s="18"/>
      <c r="E29" s="3"/>
      <c r="F29" s="3"/>
      <c r="G29" s="3"/>
    </row>
    <row r="30" s="1" customFormat="1" ht="15" customHeight="1"/>
    <row r="31" s="1" customFormat="1" ht="15" customHeight="1"/>
    <row r="32" s="1" customFormat="1" ht="15" customHeight="1"/>
    <row r="33" spans="2:3" s="1" customFormat="1" ht="15" customHeight="1">
      <c r="B33" s="14"/>
      <c r="C33" s="14"/>
    </row>
    <row r="34" spans="2:9" s="1" customFormat="1" ht="15" customHeight="1">
      <c r="B34" s="3"/>
      <c r="C34" s="3"/>
      <c r="G34" s="16"/>
      <c r="H34" s="16"/>
      <c r="I34" s="16"/>
    </row>
    <row r="35" spans="7:9" s="1" customFormat="1" ht="15" customHeight="1">
      <c r="G35" s="17"/>
      <c r="H35" s="16"/>
      <c r="I35" s="16"/>
    </row>
  </sheetData>
  <sheetProtection/>
  <printOptions/>
  <pageMargins left="0.7" right="0.7" top="0.3986111111111111" bottom="0.3986111111111111" header="0.3" footer="0.3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SheetLayoutView="100" workbookViewId="0" topLeftCell="A7">
      <selection activeCell="B33" sqref="B33"/>
    </sheetView>
  </sheetViews>
  <sheetFormatPr defaultColWidth="6.8515625" defaultRowHeight="15"/>
  <cols>
    <col min="1" max="1" width="18.8515625" style="0" customWidth="1"/>
    <col min="2" max="2" width="15.8515625" style="0" customWidth="1"/>
    <col min="3" max="3" width="12.421875" style="0" customWidth="1"/>
    <col min="4" max="4" width="16.28125" style="0" customWidth="1"/>
    <col min="5" max="5" width="6.7109375" style="0" customWidth="1"/>
    <col min="6" max="6" width="15.7109375" style="0" customWidth="1"/>
    <col min="7" max="16384" width="6.7109375" style="0" customWidth="1"/>
  </cols>
  <sheetData>
    <row r="1" s="1" customFormat="1" ht="15" customHeight="1">
      <c r="B1" s="1" t="s">
        <v>61</v>
      </c>
    </row>
    <row r="2" spans="2:9" s="1" customFormat="1" ht="15" customHeight="1">
      <c r="B2" s="1" t="s">
        <v>62</v>
      </c>
      <c r="C2" s="1" t="s">
        <v>63</v>
      </c>
      <c r="D2" s="1" t="s">
        <v>64</v>
      </c>
      <c r="F2" s="1" t="s">
        <v>65</v>
      </c>
      <c r="I2" s="1" t="s">
        <v>66</v>
      </c>
    </row>
    <row r="3" spans="1:4" s="1" customFormat="1" ht="15" customHeight="1">
      <c r="A3" s="1" t="s">
        <v>67</v>
      </c>
      <c r="B3" s="1">
        <v>739.6</v>
      </c>
      <c r="C3" s="1">
        <v>40</v>
      </c>
      <c r="D3" s="1">
        <v>29584</v>
      </c>
    </row>
    <row r="4" spans="1:4" s="1" customFormat="1" ht="15" customHeight="1">
      <c r="A4" s="1" t="s">
        <v>68</v>
      </c>
      <c r="B4" s="1">
        <v>1667.6</v>
      </c>
      <c r="C4" s="1">
        <v>45.7</v>
      </c>
      <c r="D4" s="1">
        <v>76209.32</v>
      </c>
    </row>
    <row r="5" spans="1:7" s="1" customFormat="1" ht="15" customHeight="1">
      <c r="A5" s="1" t="s">
        <v>69</v>
      </c>
      <c r="B5" s="1">
        <v>2407.2</v>
      </c>
      <c r="D5" s="1">
        <v>105793.32</v>
      </c>
      <c r="F5" s="1">
        <v>34001.973048</v>
      </c>
      <c r="G5" s="1" t="s">
        <v>70</v>
      </c>
    </row>
    <row r="6" spans="6:7" s="1" customFormat="1" ht="15" customHeight="1">
      <c r="F6" s="1">
        <v>2.9377704713472E+18</v>
      </c>
      <c r="G6" s="1" t="s">
        <v>4</v>
      </c>
    </row>
    <row r="7" spans="1:5" s="1" customFormat="1" ht="15" customHeight="1">
      <c r="A7" s="1" t="s">
        <v>71</v>
      </c>
      <c r="B7" s="1">
        <v>0.3214</v>
      </c>
      <c r="E7" s="1" t="s">
        <v>72</v>
      </c>
    </row>
    <row r="8" s="1" customFormat="1" ht="15" customHeight="1"/>
    <row r="9" s="1" customFormat="1" ht="15" customHeight="1"/>
    <row r="10" spans="1:4" s="1" customFormat="1" ht="15" customHeight="1">
      <c r="A10" s="1" t="s">
        <v>73</v>
      </c>
      <c r="B10" s="19">
        <v>3858.5</v>
      </c>
      <c r="C10" s="1" t="s">
        <v>74</v>
      </c>
      <c r="D10" s="1" t="s">
        <v>75</v>
      </c>
    </row>
    <row r="11" spans="2:3" s="1" customFormat="1" ht="15" customHeight="1">
      <c r="B11" s="1">
        <f>B10*1000000000*1000*3600</f>
        <v>1.38906E+19</v>
      </c>
      <c r="C11" t="s">
        <v>76</v>
      </c>
    </row>
    <row r="12" spans="1:4" s="1" customFormat="1" ht="15" customHeight="1">
      <c r="A12" s="1" t="s">
        <v>77</v>
      </c>
      <c r="B12" s="15">
        <v>288125973</v>
      </c>
      <c r="C12" s="1" t="s">
        <v>78</v>
      </c>
      <c r="D12" s="1" t="s">
        <v>79</v>
      </c>
    </row>
    <row r="13" spans="1:3" s="1" customFormat="1" ht="15" customHeight="1">
      <c r="A13" s="1" t="s">
        <v>80</v>
      </c>
      <c r="B13" s="6">
        <f>B11/B12</f>
        <v>48210162573.576805</v>
      </c>
      <c r="C13" s="1" t="s">
        <v>81</v>
      </c>
    </row>
    <row r="14" spans="2:4" s="1" customFormat="1" ht="15" customHeight="1">
      <c r="B14" s="1">
        <f>B13/(3600*24*365.25)</f>
        <v>1527.6878651601137</v>
      </c>
      <c r="C14" s="1" t="s">
        <v>82</v>
      </c>
      <c r="D14"/>
    </row>
    <row r="15" spans="2:4" s="1" customFormat="1" ht="15" customHeight="1">
      <c r="B15" s="1">
        <f>1000000000/B14</f>
        <v>654583.9780531294</v>
      </c>
      <c r="C15" s="1" t="s">
        <v>83</v>
      </c>
      <c r="D15" s="1" t="s">
        <v>84</v>
      </c>
    </row>
    <row r="16" s="1" customFormat="1" ht="15" customHeight="1"/>
    <row r="17" spans="1:3" s="1" customFormat="1" ht="15" customHeight="1">
      <c r="A17" s="1" t="s">
        <v>85</v>
      </c>
      <c r="B17" s="20">
        <v>8.193968941678779E-16</v>
      </c>
      <c r="C17" s="1" t="s">
        <v>86</v>
      </c>
    </row>
    <row r="18" spans="2:3" s="1" customFormat="1" ht="15" customHeight="1">
      <c r="B18" s="20">
        <f>B17*1000000</f>
        <v>8.193968941678779E-10</v>
      </c>
      <c r="C18" s="1" t="s">
        <v>87</v>
      </c>
    </row>
    <row r="19" spans="2:6" s="1" customFormat="1" ht="15" customHeight="1">
      <c r="B19" s="1">
        <f>B17*B11</f>
        <v>11381.914498128324</v>
      </c>
      <c r="C19" s="1" t="s">
        <v>88</v>
      </c>
      <c r="D19" s="1" t="s">
        <v>89</v>
      </c>
      <c r="F19"/>
    </row>
    <row r="20" spans="2:4" s="1" customFormat="1" ht="15" customHeight="1">
      <c r="B20" s="1">
        <f>0.2*B19</f>
        <v>2276.382899625665</v>
      </c>
      <c r="C20" s="1" t="s">
        <v>88</v>
      </c>
      <c r="D20" s="1" t="s">
        <v>90</v>
      </c>
    </row>
    <row r="21" spans="2:6" s="1" customFormat="1" ht="15" customHeight="1">
      <c r="B21" s="1">
        <f>B20*1000/365.25/104</f>
        <v>59.92689147648251</v>
      </c>
      <c r="C21" s="1" t="s">
        <v>91</v>
      </c>
      <c r="D21" s="1" t="s">
        <v>92</v>
      </c>
      <c r="F21"/>
    </row>
    <row r="22" s="1" customFormat="1" ht="15" customHeight="1"/>
    <row r="23" s="1" customFormat="1" ht="15" customHeight="1"/>
    <row r="24" spans="1:4" s="1" customFormat="1" ht="15" customHeight="1">
      <c r="A24" s="1" t="s">
        <v>93</v>
      </c>
      <c r="B24" s="20">
        <f>B19/B12</f>
        <v>3.9503257480117296E-05</v>
      </c>
      <c r="C24" s="1" t="s">
        <v>94</v>
      </c>
      <c r="D24" t="s">
        <v>95</v>
      </c>
    </row>
    <row r="25" spans="2:3" s="1" customFormat="1" ht="15" customHeight="1">
      <c r="B25" s="6">
        <f>B24*1000</f>
        <v>0.03950325748011729</v>
      </c>
      <c r="C25" s="1" t="s">
        <v>96</v>
      </c>
    </row>
    <row r="26" spans="2:3" s="1" customFormat="1" ht="15" customHeight="1">
      <c r="B26" s="21">
        <f>B25*1000</f>
        <v>39.50325748011729</v>
      </c>
      <c r="C26" s="1" t="s">
        <v>97</v>
      </c>
    </row>
    <row r="27" s="1" customFormat="1" ht="15" customHeight="1">
      <c r="A27" s="22" t="s">
        <v>98</v>
      </c>
    </row>
    <row r="28" s="1" customFormat="1" ht="15" customHeight="1">
      <c r="B28" s="1" t="s">
        <v>99</v>
      </c>
    </row>
    <row r="29" spans="2:3" s="1" customFormat="1" ht="15" customHeight="1">
      <c r="B29" s="15">
        <v>2395048</v>
      </c>
      <c r="C29" s="1" t="s">
        <v>100</v>
      </c>
    </row>
    <row r="30" spans="2:4" s="1" customFormat="1" ht="15" customHeight="1">
      <c r="B30" s="20">
        <f>B29*1000*1000*1000</f>
        <v>2395048000000000</v>
      </c>
      <c r="C30" s="1" t="s">
        <v>101</v>
      </c>
      <c r="D30"/>
    </row>
    <row r="31" spans="1:4" s="1" customFormat="1" ht="15" customHeight="1">
      <c r="A31" s="1" t="s">
        <v>102</v>
      </c>
      <c r="B31" s="1">
        <f>B30/0.8</f>
        <v>2993810000000000</v>
      </c>
      <c r="C31" s="1" t="s">
        <v>101</v>
      </c>
      <c r="D31"/>
    </row>
    <row r="32" spans="1:3" s="1" customFormat="1" ht="15" customHeight="1">
      <c r="A32" s="1" t="s">
        <v>103</v>
      </c>
      <c r="B32" s="1">
        <f>B31/B12</f>
        <v>10390628.685182784</v>
      </c>
      <c r="C32" s="1" t="s">
        <v>104</v>
      </c>
    </row>
    <row r="33" spans="2:3" s="1" customFormat="1" ht="15" customHeight="1">
      <c r="B33" s="1">
        <f>B32/1000</f>
        <v>10390.628685182784</v>
      </c>
      <c r="C33" s="1" t="s">
        <v>105</v>
      </c>
    </row>
    <row r="38" ht="15">
      <c r="B38" s="11">
        <f>B26/B32</f>
        <v>3.8018159128763423E-06</v>
      </c>
    </row>
  </sheetData>
  <sheetProtection/>
  <printOptions/>
  <pageMargins left="0.7" right="0.7" top="0.3986111111111111" bottom="0.3986111111111111" header="0.3" footer="0.3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9"/>
  <sheetViews>
    <sheetView zoomScaleSheetLayoutView="100" workbookViewId="0" topLeftCell="A1">
      <selection activeCell="A27" sqref="A27"/>
    </sheetView>
  </sheetViews>
  <sheetFormatPr defaultColWidth="6.8515625" defaultRowHeight="15"/>
  <cols>
    <col min="1" max="1" width="15.140625" style="0" customWidth="1"/>
    <col min="2" max="2" width="14.7109375" style="0" customWidth="1"/>
    <col min="3" max="3" width="10.140625" style="0" customWidth="1"/>
    <col min="4" max="4" width="13.00390625" style="0" customWidth="1"/>
    <col min="5" max="16384" width="6.7109375" style="0" customWidth="1"/>
  </cols>
  <sheetData>
    <row r="1" s="1" customFormat="1" ht="15" customHeight="1"/>
    <row r="2" s="1" customFormat="1" ht="15" customHeight="1">
      <c r="A2" s="1" t="s">
        <v>106</v>
      </c>
    </row>
    <row r="3" spans="2:4" s="1" customFormat="1" ht="15" customHeight="1">
      <c r="B3" s="1" t="s">
        <v>107</v>
      </c>
      <c r="C3" s="1" t="s">
        <v>108</v>
      </c>
      <c r="D3" s="1" t="s">
        <v>109</v>
      </c>
    </row>
    <row r="4" spans="1:6" s="1" customFormat="1" ht="15" customHeight="1">
      <c r="A4" s="1" t="s">
        <v>110</v>
      </c>
      <c r="B4" s="23">
        <v>3804000</v>
      </c>
      <c r="C4" s="23">
        <v>4743000</v>
      </c>
      <c r="D4" s="23">
        <v>10000000</v>
      </c>
      <c r="F4" s="1" t="s">
        <v>111</v>
      </c>
    </row>
    <row r="5" spans="1:6" s="1" customFormat="1" ht="15" customHeight="1">
      <c r="A5" s="1" t="s">
        <v>112</v>
      </c>
      <c r="B5" s="24">
        <f>B4/$B$9</f>
        <v>56.50623885918004</v>
      </c>
      <c r="C5" s="24">
        <f>C4/$B$9</f>
        <v>70.45454545454545</v>
      </c>
      <c r="D5" s="24">
        <f>D4/$B$9</f>
        <v>148.54426619132502</v>
      </c>
      <c r="F5" s="1" t="s">
        <v>31</v>
      </c>
    </row>
    <row r="6" s="1" customFormat="1" ht="15" customHeight="1"/>
    <row r="7" spans="1:4" s="1" customFormat="1" ht="15" customHeight="1">
      <c r="A7" s="1" t="s">
        <v>113</v>
      </c>
      <c r="D7" s="24">
        <f>SUM(C5:D5)</f>
        <v>218.9988116458705</v>
      </c>
    </row>
    <row r="8" s="1" customFormat="1" ht="15" customHeight="1"/>
    <row r="9" spans="1:3" s="1" customFormat="1" ht="15" customHeight="1">
      <c r="A9" s="1" t="s">
        <v>114</v>
      </c>
      <c r="B9" s="23">
        <v>67320</v>
      </c>
      <c r="C9" s="1" t="s">
        <v>115</v>
      </c>
    </row>
  </sheetData>
  <sheetProtection/>
  <printOptions/>
  <pageMargins left="0.7" right="0.7" top="0.3986111111111111" bottom="0.3986111111111111" header="0.3" footer="0.3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SheetLayoutView="100" workbookViewId="0" topLeftCell="A1">
      <selection activeCell="B24" sqref="B24"/>
    </sheetView>
  </sheetViews>
  <sheetFormatPr defaultColWidth="6.8515625" defaultRowHeight="15"/>
  <cols>
    <col min="1" max="1" width="10.00390625" style="0" customWidth="1"/>
    <col min="2" max="2" width="20.28125" style="0" customWidth="1"/>
    <col min="3" max="3" width="16.57421875" style="0" customWidth="1"/>
    <col min="4" max="4" width="14.421875" style="25" customWidth="1"/>
    <col min="5" max="5" width="19.00390625" style="0" customWidth="1"/>
    <col min="6" max="6" width="13.57421875" style="0" customWidth="1"/>
    <col min="7" max="16384" width="6.7109375" style="0" customWidth="1"/>
  </cols>
  <sheetData>
    <row r="1" s="1" customFormat="1" ht="15" customHeight="1">
      <c r="D1" s="26"/>
    </row>
    <row r="2" spans="1:4" s="1" customFormat="1" ht="15" customHeight="1">
      <c r="A2" s="1" t="s">
        <v>116</v>
      </c>
      <c r="B2" s="23">
        <v>1000000000</v>
      </c>
      <c r="C2" s="1" t="s">
        <v>117</v>
      </c>
      <c r="D2" s="26"/>
    </row>
    <row r="3" spans="3:4" s="1" customFormat="1" ht="15" customHeight="1">
      <c r="C3" s="1" t="s">
        <v>118</v>
      </c>
      <c r="D3" s="26"/>
    </row>
    <row r="4" spans="2:4" s="1" customFormat="1" ht="15" customHeight="1">
      <c r="B4" s="1" t="s">
        <v>119</v>
      </c>
      <c r="C4" s="1">
        <v>1000</v>
      </c>
      <c r="D4" s="26" t="s">
        <v>120</v>
      </c>
    </row>
    <row r="5" spans="2:4" s="1" customFormat="1" ht="15" customHeight="1">
      <c r="B5" s="1" t="s">
        <v>121</v>
      </c>
      <c r="C5" s="1">
        <v>0.333</v>
      </c>
      <c r="D5" s="26"/>
    </row>
    <row r="6" spans="2:5" s="1" customFormat="1" ht="15" customHeight="1">
      <c r="B6" s="1" t="s">
        <v>122</v>
      </c>
      <c r="C6" s="1">
        <f>B2/C4/C5</f>
        <v>3003003.0030030026</v>
      </c>
      <c r="D6" s="26" t="s">
        <v>123</v>
      </c>
      <c r="E6"/>
    </row>
    <row r="7" spans="3:4" s="1" customFormat="1" ht="15" customHeight="1">
      <c r="C7" s="23">
        <v>742.068548730603</v>
      </c>
      <c r="D7" s="26" t="s">
        <v>124</v>
      </c>
    </row>
    <row r="8" spans="3:4" s="1" customFormat="1" ht="15" customHeight="1">
      <c r="C8" s="23">
        <v>1.1599084600243401</v>
      </c>
      <c r="D8" s="26" t="s">
        <v>125</v>
      </c>
    </row>
    <row r="9" s="1" customFormat="1" ht="15" customHeight="1">
      <c r="D9" s="26"/>
    </row>
    <row r="10" spans="3:6" s="1" customFormat="1" ht="15" customHeight="1">
      <c r="C10" s="1" t="s">
        <v>118</v>
      </c>
      <c r="D10" s="26"/>
      <c r="F10" s="1" t="s">
        <v>126</v>
      </c>
    </row>
    <row r="11" spans="1:7" s="1" customFormat="1" ht="15" customHeight="1">
      <c r="A11" s="1" t="s">
        <v>127</v>
      </c>
      <c r="B11" s="1" t="s">
        <v>128</v>
      </c>
      <c r="C11" s="1">
        <v>4.5</v>
      </c>
      <c r="D11" s="26" t="s">
        <v>129</v>
      </c>
      <c r="F11" s="23">
        <v>1000000000</v>
      </c>
      <c r="G11" s="1" t="s">
        <v>130</v>
      </c>
    </row>
    <row r="12" spans="2:7" s="1" customFormat="1" ht="15" customHeight="1">
      <c r="B12"/>
      <c r="C12" s="1">
        <f>C11*365.25</f>
        <v>1643.625</v>
      </c>
      <c r="D12" s="26" t="s">
        <v>131</v>
      </c>
      <c r="F12" s="23">
        <f>F11*3600*24*365.25</f>
        <v>31557600000000000</v>
      </c>
      <c r="G12" s="1" t="s">
        <v>132</v>
      </c>
    </row>
    <row r="13" spans="3:5" s="1" customFormat="1" ht="15" customHeight="1">
      <c r="C13" s="1">
        <f>C12*1000*3600</f>
        <v>5917050000</v>
      </c>
      <c r="D13" s="26" t="s">
        <v>133</v>
      </c>
      <c r="E13"/>
    </row>
    <row r="14" spans="2:5" s="1" customFormat="1" ht="22.5" customHeight="1">
      <c r="B14" s="1" t="s">
        <v>134</v>
      </c>
      <c r="C14" s="1">
        <f>$F$12/C13/$C$5</f>
        <v>16016016.016016014</v>
      </c>
      <c r="D14" s="26" t="s">
        <v>123</v>
      </c>
      <c r="E14" s="1" t="s">
        <v>135</v>
      </c>
    </row>
    <row r="15" spans="2:6" s="1" customFormat="1" ht="45" customHeight="1">
      <c r="B15" s="27" t="s">
        <v>136</v>
      </c>
      <c r="C15" s="1">
        <f>C14/2589000</f>
        <v>6.186178453463119</v>
      </c>
      <c r="D15" s="26" t="s">
        <v>125</v>
      </c>
      <c r="E15"/>
      <c r="F15"/>
    </row>
    <row r="18" spans="1:4" ht="15">
      <c r="A18" t="s">
        <v>137</v>
      </c>
      <c r="C18">
        <v>7</v>
      </c>
      <c r="D18" s="26" t="s">
        <v>129</v>
      </c>
    </row>
    <row r="19" spans="3:4" ht="15">
      <c r="C19" s="1">
        <f>C18*365.25</f>
        <v>2556.75</v>
      </c>
      <c r="D19" s="26" t="s">
        <v>131</v>
      </c>
    </row>
    <row r="20" spans="3:4" ht="15">
      <c r="C20" s="1">
        <f>C19*1000*3600</f>
        <v>9204300000</v>
      </c>
      <c r="D20" s="26" t="s">
        <v>133</v>
      </c>
    </row>
    <row r="21" spans="3:4" ht="15">
      <c r="C21" s="1">
        <f>$F$12/C20/$C$5</f>
        <v>10296010.296010295</v>
      </c>
      <c r="D21" s="26" t="s">
        <v>123</v>
      </c>
    </row>
    <row r="22" spans="3:4" ht="15">
      <c r="C22" s="1">
        <f>C21/2589000</f>
        <v>3.976829005797719</v>
      </c>
      <c r="D22" s="26" t="s">
        <v>125</v>
      </c>
    </row>
    <row r="26" ht="15">
      <c r="B26" t="s">
        <v>138</v>
      </c>
    </row>
  </sheetData>
  <sheetProtection/>
  <hyperlinks>
    <hyperlink ref="B26" r:id="rId1" display="http://www.nrel.gov/gis/images/us_pv_annual_may2004.jpg"/>
  </hyperlinks>
  <printOptions/>
  <pageMargins left="0.7" right="0.7" top="0.3986111111111111" bottom="0.3986111111111111" header="0.3" footer="0.3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L36"/>
  <sheetViews>
    <sheetView zoomScaleSheetLayoutView="100" workbookViewId="0" topLeftCell="A7">
      <selection activeCell="E45" sqref="E45"/>
    </sheetView>
  </sheetViews>
  <sheetFormatPr defaultColWidth="6.8515625" defaultRowHeight="15"/>
  <cols>
    <col min="1" max="1" width="29.421875" style="0" customWidth="1"/>
    <col min="2" max="2" width="20.28125" style="0" customWidth="1"/>
    <col min="3" max="3" width="15.8515625" style="0" customWidth="1"/>
    <col min="4" max="4" width="15.00390625" style="0" customWidth="1"/>
    <col min="5" max="5" width="11.8515625" style="0" customWidth="1"/>
    <col min="6" max="6" width="15.421875" style="0" customWidth="1"/>
    <col min="7" max="7" width="8.00390625" style="0" customWidth="1"/>
    <col min="8" max="16384" width="6.7109375" style="0" customWidth="1"/>
  </cols>
  <sheetData>
    <row r="1" s="1" customFormat="1" ht="15" customHeight="1"/>
    <row r="2" s="1" customFormat="1" ht="16.5">
      <c r="B2" s="28" t="s">
        <v>139</v>
      </c>
    </row>
    <row r="3" s="1" customFormat="1" ht="16.5" customHeight="1">
      <c r="B3" s="29" t="s">
        <v>140</v>
      </c>
    </row>
    <row r="4" spans="2:8" s="1" customFormat="1" ht="15.75" customHeight="1">
      <c r="B4" s="30" t="s">
        <v>141</v>
      </c>
      <c r="C4" s="31" t="s">
        <v>142</v>
      </c>
      <c r="D4" s="32" t="s">
        <v>143</v>
      </c>
      <c r="E4" s="32" t="s">
        <v>144</v>
      </c>
      <c r="F4" s="1" t="s">
        <v>145</v>
      </c>
      <c r="G4" s="33" t="s">
        <v>146</v>
      </c>
      <c r="H4" s="1" t="s">
        <v>147</v>
      </c>
    </row>
    <row r="5" spans="2:8" s="1" customFormat="1" ht="15.75" customHeight="1">
      <c r="B5" s="30"/>
      <c r="C5" s="34" t="s">
        <v>148</v>
      </c>
      <c r="D5" s="32"/>
      <c r="E5" s="32"/>
      <c r="F5" s="1" t="s">
        <v>149</v>
      </c>
      <c r="G5" s="35" t="s">
        <v>150</v>
      </c>
      <c r="H5" s="1" t="s">
        <v>149</v>
      </c>
    </row>
    <row r="6" spans="2:8" s="1" customFormat="1" ht="15.75" customHeight="1">
      <c r="B6" s="36" t="s">
        <v>151</v>
      </c>
      <c r="C6" s="37">
        <v>1493</v>
      </c>
      <c r="D6" s="37">
        <v>335830</v>
      </c>
      <c r="E6" s="37">
        <v>312956</v>
      </c>
      <c r="F6" s="38">
        <v>0.31733039955790604</v>
      </c>
      <c r="G6" s="37">
        <v>315163</v>
      </c>
      <c r="H6" s="38">
        <v>0.30827400090184603</v>
      </c>
    </row>
    <row r="7" spans="2:8" s="1" customFormat="1" ht="15" customHeight="1">
      <c r="B7" s="36" t="s">
        <v>152</v>
      </c>
      <c r="C7" s="37">
        <v>3744</v>
      </c>
      <c r="D7" s="37">
        <v>64318</v>
      </c>
      <c r="E7" s="37">
        <v>58097</v>
      </c>
      <c r="F7" s="38">
        <v>0.0589090614115583</v>
      </c>
      <c r="G7" s="37">
        <v>62565</v>
      </c>
      <c r="H7" s="38">
        <v>0.0611974212278219</v>
      </c>
    </row>
    <row r="8" spans="2:8" s="1" customFormat="1" ht="15" customHeight="1">
      <c r="B8" s="36" t="s">
        <v>153</v>
      </c>
      <c r="C8" s="37">
        <v>5470</v>
      </c>
      <c r="D8" s="37">
        <v>442945</v>
      </c>
      <c r="E8" s="37">
        <v>388294</v>
      </c>
      <c r="F8" s="38">
        <v>0.393721450190881</v>
      </c>
      <c r="G8" s="37">
        <v>416745</v>
      </c>
      <c r="H8" s="38">
        <v>0.40763556796273703</v>
      </c>
    </row>
    <row r="9" spans="2:8" s="1" customFormat="1" ht="15" customHeight="1">
      <c r="B9" s="36" t="s">
        <v>154</v>
      </c>
      <c r="C9" s="39">
        <v>105</v>
      </c>
      <c r="D9" s="37">
        <v>2563</v>
      </c>
      <c r="E9" s="37">
        <v>2256</v>
      </c>
      <c r="F9" s="38">
        <v>0.00228753365138433</v>
      </c>
      <c r="G9" s="37">
        <v>2197</v>
      </c>
      <c r="H9" s="38">
        <v>0.00214897681511268</v>
      </c>
    </row>
    <row r="10" spans="2:10" s="1" customFormat="1" ht="15" customHeight="1">
      <c r="B10" s="40" t="s">
        <v>155</v>
      </c>
      <c r="C10" s="39">
        <v>104</v>
      </c>
      <c r="D10" s="37">
        <v>105585</v>
      </c>
      <c r="E10" s="37">
        <v>100334</v>
      </c>
      <c r="F10" s="38">
        <v>0.10173643678102601</v>
      </c>
      <c r="G10" s="37">
        <v>101718</v>
      </c>
      <c r="H10" s="38">
        <v>0.09949459430115219</v>
      </c>
      <c r="J10" s="1" t="s">
        <v>156</v>
      </c>
    </row>
    <row r="11" spans="2:8" s="1" customFormat="1" ht="15">
      <c r="B11" s="36" t="s">
        <v>157</v>
      </c>
      <c r="C11" s="37">
        <v>3988</v>
      </c>
      <c r="D11" s="37">
        <v>77419</v>
      </c>
      <c r="E11" s="37">
        <v>77821</v>
      </c>
      <c r="F11" s="38">
        <v>0.07890875721825359</v>
      </c>
      <c r="G11" s="37">
        <v>77393</v>
      </c>
      <c r="H11" s="38">
        <v>0.0757013029822555</v>
      </c>
    </row>
    <row r="12" spans="2:8" s="1" customFormat="1" ht="15" customHeight="1">
      <c r="B12" s="36" t="s">
        <v>158</v>
      </c>
      <c r="C12" s="37">
        <v>1823</v>
      </c>
      <c r="D12" s="37">
        <v>26470</v>
      </c>
      <c r="E12" s="37">
        <v>24113</v>
      </c>
      <c r="F12" s="38">
        <v>0.024450043854534798</v>
      </c>
      <c r="G12" s="37">
        <v>24285</v>
      </c>
      <c r="H12" s="38">
        <v>0.0237541656599961</v>
      </c>
    </row>
    <row r="13" spans="2:8" s="1" customFormat="1" ht="15" customHeight="1">
      <c r="B13" s="40" t="s">
        <v>159</v>
      </c>
      <c r="C13" s="39">
        <v>150</v>
      </c>
      <c r="D13" s="37">
        <v>19569</v>
      </c>
      <c r="E13" s="37">
        <v>21461</v>
      </c>
      <c r="F13" s="38">
        <v>0.0217609750409393</v>
      </c>
      <c r="G13" s="37">
        <v>21374</v>
      </c>
      <c r="H13" s="38">
        <v>0.0209067958335086</v>
      </c>
    </row>
    <row r="14" spans="2:8" s="1" customFormat="1" ht="15" customHeight="1">
      <c r="B14" s="36" t="s">
        <v>160</v>
      </c>
      <c r="C14" s="39">
        <v>47</v>
      </c>
      <c r="D14" s="39">
        <v>976</v>
      </c>
      <c r="E14" s="39">
        <v>882</v>
      </c>
      <c r="F14" s="38">
        <v>0.0008943283158337691</v>
      </c>
      <c r="G14" s="39">
        <v>908</v>
      </c>
      <c r="H14" s="38">
        <v>0.000888152457042472</v>
      </c>
    </row>
    <row r="15" spans="2:7" s="1" customFormat="1" ht="15" customHeight="1">
      <c r="B15" s="41" t="s">
        <v>69</v>
      </c>
      <c r="C15" s="42">
        <v>16924</v>
      </c>
      <c r="D15" s="42">
        <v>1075677</v>
      </c>
      <c r="E15" s="42">
        <v>986215</v>
      </c>
      <c r="G15" s="42">
        <v>1022347</v>
      </c>
    </row>
    <row r="16" spans="2:7" s="1" customFormat="1" ht="15.75" customHeight="1">
      <c r="B16" s="43"/>
      <c r="C16" s="44"/>
      <c r="D16" s="44"/>
      <c r="E16" s="44"/>
      <c r="G16" s="44"/>
    </row>
    <row r="17" s="1" customFormat="1" ht="15" customHeight="1"/>
    <row r="18" s="1" customFormat="1" ht="15" customHeight="1"/>
    <row r="19" s="1" customFormat="1" ht="15" customHeight="1"/>
    <row r="20" s="1" customFormat="1" ht="15" customHeight="1"/>
    <row r="21" s="1" customFormat="1" ht="15" customHeight="1"/>
    <row r="22" spans="4:12" s="1" customFormat="1" ht="15" customHeight="1">
      <c r="D22" s="15"/>
      <c r="E22" s="15"/>
      <c r="F22" s="15"/>
      <c r="G22" s="15"/>
      <c r="H22" s="15"/>
      <c r="I22" s="15"/>
      <c r="J22" s="15"/>
      <c r="K22" s="15"/>
      <c r="L22" s="15"/>
    </row>
    <row r="23" s="1" customFormat="1" ht="15" customHeight="1"/>
    <row r="24" spans="1:2" s="1" customFormat="1" ht="15" customHeight="1">
      <c r="A24" s="1" t="s">
        <v>161</v>
      </c>
      <c r="B24" s="1" t="s">
        <v>162</v>
      </c>
    </row>
    <row r="25" s="1" customFormat="1" ht="15" customHeight="1">
      <c r="A25" s="1" t="s">
        <v>163</v>
      </c>
    </row>
    <row r="26" spans="2:3" s="1" customFormat="1" ht="15" customHeight="1">
      <c r="B26" s="22" t="s">
        <v>164</v>
      </c>
      <c r="C26" s="3" t="s">
        <v>149</v>
      </c>
    </row>
    <row r="27" spans="1:3" s="1" customFormat="1" ht="15" customHeight="1">
      <c r="A27" s="45" t="s">
        <v>151</v>
      </c>
      <c r="B27" s="15">
        <v>1990926</v>
      </c>
      <c r="C27" s="38">
        <v>0.48980872147791404</v>
      </c>
    </row>
    <row r="28" spans="1:3" s="1" customFormat="1" ht="15" customHeight="1">
      <c r="A28" s="45" t="s">
        <v>165</v>
      </c>
      <c r="B28" s="15">
        <v>64364</v>
      </c>
      <c r="C28" s="38">
        <v>0.015834867066482898</v>
      </c>
    </row>
    <row r="29" spans="1:3" s="1" customFormat="1" ht="15" customHeight="1">
      <c r="A29" s="26" t="s">
        <v>166</v>
      </c>
      <c r="B29" s="15">
        <v>813044</v>
      </c>
      <c r="C29" s="38">
        <v>0.20002553693371303</v>
      </c>
    </row>
    <row r="30" spans="1:3" s="1" customFormat="1" ht="15" customHeight="1">
      <c r="A30" s="45" t="s">
        <v>167</v>
      </c>
      <c r="B30" s="15">
        <v>16060</v>
      </c>
      <c r="C30" s="38">
        <v>0.0039510901293846705</v>
      </c>
    </row>
    <row r="31" spans="1:3" s="1" customFormat="1" ht="15" customHeight="1">
      <c r="A31" s="26" t="s">
        <v>155</v>
      </c>
      <c r="B31" s="15">
        <v>787219</v>
      </c>
      <c r="C31" s="38">
        <v>0.193672056074973</v>
      </c>
    </row>
    <row r="32" spans="1:3" s="1" customFormat="1" ht="15" customHeight="1">
      <c r="A32" s="45" t="s">
        <v>168</v>
      </c>
      <c r="B32" s="15">
        <v>289246</v>
      </c>
      <c r="C32" s="38">
        <v>0.0711604617412203</v>
      </c>
    </row>
    <row r="33" spans="1:3" s="1" customFormat="1" ht="15" customHeight="1">
      <c r="A33" s="45" t="s">
        <v>169</v>
      </c>
      <c r="B33" s="15">
        <v>96423</v>
      </c>
      <c r="C33" s="38">
        <v>0.0237220400713361</v>
      </c>
    </row>
    <row r="34" spans="1:3" s="1" customFormat="1" ht="15" customHeight="1">
      <c r="A34" s="45" t="s">
        <v>170</v>
      </c>
      <c r="B34" s="15">
        <v>-6558</v>
      </c>
      <c r="C34" s="38">
        <v>-0.0016134028062580702</v>
      </c>
    </row>
    <row r="35" spans="1:3" s="1" customFormat="1" ht="15" customHeight="1">
      <c r="A35" s="45" t="s">
        <v>160</v>
      </c>
      <c r="B35" s="15">
        <v>13977</v>
      </c>
      <c r="C35" s="38">
        <v>0.0034386293112334703</v>
      </c>
    </row>
    <row r="36" spans="1:2" s="1" customFormat="1" ht="15" customHeight="1">
      <c r="A36" s="26" t="s">
        <v>171</v>
      </c>
      <c r="B36" s="15">
        <v>4064701</v>
      </c>
    </row>
  </sheetData>
  <sheetProtection/>
  <mergeCells count="3">
    <mergeCell ref="B4:B5"/>
    <mergeCell ref="D4:D5"/>
    <mergeCell ref="E4:E5"/>
  </mergeCells>
  <hyperlinks>
    <hyperlink ref="B6" location="!" display="Coal[1]"/>
    <hyperlink ref="B7" location="!" display="Petroleum[2]"/>
    <hyperlink ref="B8" location="!" display="Natural Gas[3]"/>
    <hyperlink ref="B9" location="!" display="Other Gases[4]"/>
    <hyperlink ref="B11" location="!" display="Hydroelectric Conventional[5]"/>
    <hyperlink ref="B12" location="!" display="Other Renewables[6]"/>
    <hyperlink ref="B14" location="!" display="Other[7]"/>
    <hyperlink ref="A27" r:id="rId1" display="Coal[1]"/>
    <hyperlink ref="A28" r:id="rId2" display="Petroleum [2]"/>
    <hyperlink ref="A30" r:id="rId3" display="Other Gases[3]"/>
    <hyperlink ref="A32" r:id="rId4" display="Hydroelectric Conventional[4]"/>
    <hyperlink ref="A33" r:id="rId5" display="Other Renewables[5]"/>
    <hyperlink ref="A34" r:id="rId6" display="Hydroelectric Pumped Storage[6]"/>
    <hyperlink ref="A35" r:id="rId7" display="Other[7]"/>
  </hyperlinks>
  <printOptions/>
  <pageMargins left="0.7" right="0.7" top="0.3986111111111111" bottom="0.3986111111111111" header="0.3" footer="0.3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SheetLayoutView="100" workbookViewId="0" topLeftCell="A1">
      <selection activeCell="O27" sqref="O27"/>
    </sheetView>
  </sheetViews>
  <sheetFormatPr defaultColWidth="6.8515625" defaultRowHeight="15"/>
  <cols>
    <col min="1" max="1" width="15.57421875" style="0" customWidth="1"/>
    <col min="2" max="2" width="10.140625" style="0" customWidth="1"/>
    <col min="3" max="3" width="16.140625" style="0" customWidth="1"/>
    <col min="4" max="16384" width="6.7109375" style="0" customWidth="1"/>
  </cols>
  <sheetData>
    <row r="1" s="1" customFormat="1" ht="15" customHeight="1">
      <c r="A1" s="1" t="s">
        <v>172</v>
      </c>
    </row>
    <row r="2" s="1" customFormat="1" ht="15" customHeight="1">
      <c r="A2" s="1" t="s">
        <v>173</v>
      </c>
    </row>
    <row r="3" s="1" customFormat="1" ht="15" customHeight="1"/>
    <row r="4" spans="1:6" s="1" customFormat="1" ht="15" customHeight="1">
      <c r="A4" s="1" t="s">
        <v>174</v>
      </c>
      <c r="F4" s="1" t="s">
        <v>175</v>
      </c>
    </row>
    <row r="5" spans="1:3" s="1" customFormat="1" ht="15" customHeight="1">
      <c r="A5" s="1">
        <v>101196</v>
      </c>
      <c r="B5" s="1" t="s">
        <v>176</v>
      </c>
      <c r="C5" s="1" t="s">
        <v>177</v>
      </c>
    </row>
    <row r="6" spans="1:2" s="1" customFormat="1" ht="16.5">
      <c r="A6" s="46">
        <f>A5*907.18</f>
        <v>91802987.28</v>
      </c>
      <c r="B6" s="46" t="s">
        <v>178</v>
      </c>
    </row>
    <row r="7" s="1" customFormat="1" ht="15" customHeight="1"/>
    <row r="8" spans="1:3" s="1" customFormat="1" ht="16.5">
      <c r="A8" s="46" t="s">
        <v>179</v>
      </c>
      <c r="B8" s="23">
        <v>1000000000</v>
      </c>
      <c r="C8" s="1" t="s">
        <v>117</v>
      </c>
    </row>
    <row r="9" spans="1:3" s="1" customFormat="1" ht="15" customHeight="1">
      <c r="A9" s="1" t="s">
        <v>180</v>
      </c>
      <c r="B9" s="1">
        <v>9</v>
      </c>
      <c r="C9" s="1" t="s">
        <v>181</v>
      </c>
    </row>
    <row r="10" spans="2:3" s="1" customFormat="1" ht="15" customHeight="1">
      <c r="B10" s="1">
        <f>B9*3600</f>
        <v>32400</v>
      </c>
      <c r="C10" s="1" t="s">
        <v>182</v>
      </c>
    </row>
    <row r="11" spans="1:3" s="1" customFormat="1" ht="15" customHeight="1">
      <c r="A11" s="1" t="s">
        <v>183</v>
      </c>
      <c r="B11" s="23">
        <f>B10*B8</f>
        <v>32400000000000</v>
      </c>
      <c r="C11" s="1" t="s">
        <v>4</v>
      </c>
    </row>
    <row r="12" spans="1:6" s="1" customFormat="1" ht="15" customHeight="1">
      <c r="A12" s="1" t="s">
        <v>184</v>
      </c>
      <c r="B12" s="1">
        <v>818</v>
      </c>
      <c r="C12" s="1" t="s">
        <v>185</v>
      </c>
      <c r="D12" s="1" t="s">
        <v>186</v>
      </c>
      <c r="F12" s="1" t="s">
        <v>187</v>
      </c>
    </row>
    <row r="13" spans="1:3" s="1" customFormat="1" ht="15" customHeight="1">
      <c r="A13" s="1" t="s">
        <v>188</v>
      </c>
      <c r="B13" s="1">
        <v>9.8</v>
      </c>
      <c r="C13" s="1" t="s">
        <v>189</v>
      </c>
    </row>
    <row r="14" s="1" customFormat="1" ht="15" customHeight="1"/>
    <row r="15" spans="1:2" s="1" customFormat="1" ht="15" customHeight="1">
      <c r="A15" s="1" t="s">
        <v>190</v>
      </c>
      <c r="B15" s="1">
        <f>B13*B12</f>
        <v>8016.400000000001</v>
      </c>
    </row>
    <row r="16" spans="1:3" s="1" customFormat="1" ht="15" customHeight="1">
      <c r="A16" s="1" t="s">
        <v>185</v>
      </c>
      <c r="B16" s="23">
        <f>B11/B15</f>
        <v>4041714485.3051243</v>
      </c>
      <c r="C16" s="1" t="s">
        <v>178</v>
      </c>
    </row>
    <row r="17" spans="2:3" s="1" customFormat="1" ht="15" customHeight="1">
      <c r="B17" s="47">
        <f>B16/A6</f>
        <v>44.02595825098649</v>
      </c>
      <c r="C17" s="1" t="s">
        <v>191</v>
      </c>
    </row>
    <row r="18" s="1" customFormat="1" ht="15" customHeight="1"/>
    <row r="19" spans="1:5" s="1" customFormat="1" ht="15" customHeight="1">
      <c r="A19" s="1" t="s">
        <v>192</v>
      </c>
      <c r="C19" s="1" t="s">
        <v>178</v>
      </c>
      <c r="E19" s="1" t="s">
        <v>193</v>
      </c>
    </row>
    <row r="20" spans="1:4" s="1" customFormat="1" ht="15" customHeight="1">
      <c r="A20" s="1" t="s">
        <v>194</v>
      </c>
      <c r="C20" s="1">
        <f>$B$11/1000000/'Energy in Uranium'!I9/0.33</f>
        <v>170.83137402266885</v>
      </c>
      <c r="D20"/>
    </row>
    <row r="21" spans="1:4" s="1" customFormat="1" ht="15" customHeight="1">
      <c r="A21" s="1" t="s">
        <v>195</v>
      </c>
      <c r="C21" s="1">
        <f>$B$11/1000000/'Energy in Uranium'!I10/0.33</f>
        <v>26.57376929241516</v>
      </c>
      <c r="D21"/>
    </row>
    <row r="22" spans="1:4" s="1" customFormat="1" ht="15" customHeight="1">
      <c r="A22" s="1" t="s">
        <v>196</v>
      </c>
      <c r="C22" s="1">
        <f>$B$11/1000000/'Energy in Uranium'!I11/0.33</f>
        <v>1.2587574927986127</v>
      </c>
      <c r="D22"/>
    </row>
  </sheetData>
  <sheetProtection/>
  <printOptions/>
  <pageMargins left="0.7" right="0.7" top="0.3986111111111111" bottom="0.3986111111111111" header="0.3" footer="0.3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B2:U69"/>
  <sheetViews>
    <sheetView zoomScaleSheetLayoutView="100" workbookViewId="0" topLeftCell="A22">
      <selection activeCell="N43" sqref="N43"/>
    </sheetView>
  </sheetViews>
  <sheetFormatPr defaultColWidth="6.8515625" defaultRowHeight="15" customHeight="1"/>
  <cols>
    <col min="1" max="16384" width="6.7109375" style="1" customWidth="1"/>
  </cols>
  <sheetData>
    <row r="2" ht="15" customHeight="1">
      <c r="B2" s="48" t="s">
        <v>197</v>
      </c>
    </row>
    <row r="3" spans="2:21" ht="15" customHeight="1">
      <c r="B3" s="48" t="s">
        <v>155</v>
      </c>
      <c r="C3" s="1" t="s">
        <v>198</v>
      </c>
      <c r="D3" s="1" t="s">
        <v>199</v>
      </c>
      <c r="E3" s="1" t="s">
        <v>200</v>
      </c>
      <c r="F3" s="1" t="s">
        <v>155</v>
      </c>
      <c r="G3" s="1" t="s">
        <v>201</v>
      </c>
      <c r="H3" s="1" t="s">
        <v>202</v>
      </c>
      <c r="I3" s="1" t="s">
        <v>198</v>
      </c>
      <c r="J3" s="1" t="s">
        <v>199</v>
      </c>
      <c r="K3" s="1" t="s">
        <v>200</v>
      </c>
      <c r="L3" s="1" t="s">
        <v>199</v>
      </c>
      <c r="M3" s="1" t="s">
        <v>203</v>
      </c>
      <c r="N3" s="1" t="s">
        <v>150</v>
      </c>
      <c r="O3" s="1" t="s">
        <v>202</v>
      </c>
      <c r="P3" s="1" t="s">
        <v>204</v>
      </c>
      <c r="Q3" s="1" t="s">
        <v>205</v>
      </c>
      <c r="R3" s="1">
        <v>1</v>
      </c>
      <c r="S3" s="1" t="s">
        <v>150</v>
      </c>
      <c r="T3" s="1" t="s">
        <v>206</v>
      </c>
      <c r="U3" s="1">
        <v>2</v>
      </c>
    </row>
    <row r="4" spans="2:7" ht="15" customHeight="1">
      <c r="B4" s="48" t="s">
        <v>207</v>
      </c>
      <c r="C4" s="1" t="s">
        <v>208</v>
      </c>
      <c r="D4" s="1" t="s">
        <v>209</v>
      </c>
      <c r="E4" s="1" t="s">
        <v>210</v>
      </c>
      <c r="F4" s="1" t="s">
        <v>211</v>
      </c>
      <c r="G4" s="1" t="s">
        <v>209</v>
      </c>
    </row>
    <row r="5" spans="2:6" ht="15" customHeight="1">
      <c r="B5" s="48">
        <v>1957</v>
      </c>
      <c r="C5" s="1" t="s">
        <v>20</v>
      </c>
      <c r="D5" s="1" t="s">
        <v>20</v>
      </c>
      <c r="E5" s="1">
        <v>0.1</v>
      </c>
      <c r="F5" s="1" t="s">
        <v>212</v>
      </c>
    </row>
    <row r="6" spans="2:6" ht="15" customHeight="1">
      <c r="B6" s="48">
        <v>1958</v>
      </c>
      <c r="C6" s="1">
        <v>0.2</v>
      </c>
      <c r="D6" s="1" t="s">
        <v>20</v>
      </c>
      <c r="E6" s="1">
        <v>0.1</v>
      </c>
      <c r="F6" s="1" t="s">
        <v>212</v>
      </c>
    </row>
    <row r="7" spans="2:6" ht="15" customHeight="1">
      <c r="B7" s="48">
        <v>1959</v>
      </c>
      <c r="C7" s="1">
        <v>0.2</v>
      </c>
      <c r="D7" s="1" t="s">
        <v>20</v>
      </c>
      <c r="E7" s="1">
        <v>0.1</v>
      </c>
      <c r="F7" s="1" t="s">
        <v>212</v>
      </c>
    </row>
    <row r="8" spans="2:6" ht="15" customHeight="1">
      <c r="B8" s="48">
        <v>1960</v>
      </c>
      <c r="C8" s="1">
        <v>0.5</v>
      </c>
      <c r="D8" s="1">
        <v>0.1</v>
      </c>
      <c r="E8" s="1">
        <v>0.4</v>
      </c>
      <c r="F8" s="1" t="s">
        <v>212</v>
      </c>
    </row>
    <row r="9" spans="2:6" ht="15" customHeight="1">
      <c r="B9" s="48">
        <v>1961</v>
      </c>
      <c r="C9" s="1">
        <v>1.7000000000000002</v>
      </c>
      <c r="D9" s="1">
        <v>0.2</v>
      </c>
      <c r="E9" s="1">
        <v>0.4</v>
      </c>
      <c r="F9" s="1" t="s">
        <v>212</v>
      </c>
    </row>
    <row r="10" spans="2:6" ht="15" customHeight="1">
      <c r="B10" s="48">
        <v>1962</v>
      </c>
      <c r="C10" s="1">
        <v>2.3</v>
      </c>
      <c r="D10" s="1">
        <v>0.30000000000000004</v>
      </c>
      <c r="E10" s="1">
        <v>0.7</v>
      </c>
      <c r="F10" s="1" t="s">
        <v>212</v>
      </c>
    </row>
    <row r="11" spans="2:6" ht="15" customHeight="1">
      <c r="B11" s="48">
        <v>1963</v>
      </c>
      <c r="C11" s="1">
        <v>3.2</v>
      </c>
      <c r="D11" s="1">
        <v>0.30000000000000004</v>
      </c>
      <c r="E11" s="1">
        <v>0.8</v>
      </c>
      <c r="F11" s="1" t="s">
        <v>212</v>
      </c>
    </row>
    <row r="12" spans="2:6" ht="15" customHeight="1">
      <c r="B12" s="48">
        <v>1964</v>
      </c>
      <c r="C12" s="1">
        <v>3.3</v>
      </c>
      <c r="D12" s="1">
        <v>0.30000000000000004</v>
      </c>
      <c r="E12" s="1">
        <v>0.8</v>
      </c>
      <c r="F12" s="1" t="s">
        <v>212</v>
      </c>
    </row>
    <row r="13" spans="2:6" ht="15" customHeight="1">
      <c r="B13" s="48">
        <v>1965</v>
      </c>
      <c r="C13" s="1">
        <v>3.7</v>
      </c>
      <c r="D13" s="1">
        <v>0.30000000000000004</v>
      </c>
      <c r="E13" s="1">
        <v>0.8</v>
      </c>
      <c r="F13" s="1" t="s">
        <v>212</v>
      </c>
    </row>
    <row r="14" spans="2:6" ht="15" customHeight="1">
      <c r="B14" s="48">
        <v>1966</v>
      </c>
      <c r="C14" s="1">
        <v>5.5</v>
      </c>
      <c r="D14" s="1">
        <v>0.5</v>
      </c>
      <c r="E14" s="1">
        <v>1.7000000000000002</v>
      </c>
      <c r="F14" s="1" t="s">
        <v>212</v>
      </c>
    </row>
    <row r="15" spans="2:6" ht="15" customHeight="1">
      <c r="B15" s="48">
        <v>1967</v>
      </c>
      <c r="C15" s="1">
        <v>7.7</v>
      </c>
      <c r="D15" s="1">
        <v>0.6000000000000001</v>
      </c>
      <c r="E15" s="1">
        <v>2.7</v>
      </c>
      <c r="F15" s="1" t="s">
        <v>212</v>
      </c>
    </row>
    <row r="16" spans="2:6" ht="15" customHeight="1">
      <c r="B16" s="48">
        <v>1968</v>
      </c>
      <c r="C16" s="1">
        <v>12.5</v>
      </c>
      <c r="D16" s="1">
        <v>0.9</v>
      </c>
      <c r="E16" s="1">
        <v>2.7</v>
      </c>
      <c r="F16" s="1" t="s">
        <v>212</v>
      </c>
    </row>
    <row r="17" spans="2:6" ht="15" customHeight="1">
      <c r="B17" s="48">
        <v>1969</v>
      </c>
      <c r="C17" s="1">
        <v>13.9</v>
      </c>
      <c r="D17" s="1">
        <v>1</v>
      </c>
      <c r="E17" s="1">
        <v>4.4</v>
      </c>
      <c r="F17" s="1" t="s">
        <v>212</v>
      </c>
    </row>
    <row r="18" spans="2:6" ht="15" customHeight="1">
      <c r="B18" s="48">
        <v>1970</v>
      </c>
      <c r="C18" s="1">
        <v>21.8</v>
      </c>
      <c r="D18" s="1">
        <v>1.4</v>
      </c>
      <c r="E18" s="1">
        <v>7</v>
      </c>
      <c r="F18" s="1" t="s">
        <v>212</v>
      </c>
    </row>
    <row r="19" spans="2:6" ht="15" customHeight="1">
      <c r="B19" s="48">
        <v>1971</v>
      </c>
      <c r="C19" s="1">
        <v>38.1</v>
      </c>
      <c r="D19" s="1">
        <v>2.4</v>
      </c>
      <c r="E19" s="1">
        <v>9</v>
      </c>
      <c r="F19" s="1" t="s">
        <v>212</v>
      </c>
    </row>
    <row r="20" spans="2:6" ht="15" customHeight="1">
      <c r="B20" s="48">
        <v>1972</v>
      </c>
      <c r="C20" s="1">
        <v>54.1</v>
      </c>
      <c r="D20" s="1">
        <v>3.1</v>
      </c>
      <c r="E20" s="1">
        <v>14.5</v>
      </c>
      <c r="F20" s="1" t="s">
        <v>212</v>
      </c>
    </row>
    <row r="21" spans="2:6" ht="15" customHeight="1">
      <c r="B21" s="48">
        <v>1973</v>
      </c>
      <c r="C21" s="1">
        <v>83.5</v>
      </c>
      <c r="D21" s="1">
        <v>4.5</v>
      </c>
      <c r="E21" s="1">
        <v>22.7</v>
      </c>
      <c r="F21" s="1">
        <v>53.5</v>
      </c>
    </row>
    <row r="22" spans="2:6" ht="15" customHeight="1">
      <c r="B22" s="48">
        <v>1974</v>
      </c>
      <c r="C22" s="1">
        <v>114</v>
      </c>
      <c r="D22" s="1">
        <v>6.1</v>
      </c>
      <c r="E22" s="1">
        <v>31.9</v>
      </c>
      <c r="F22" s="1">
        <v>47.8</v>
      </c>
    </row>
    <row r="23" spans="2:6" ht="15" customHeight="1">
      <c r="B23" s="48">
        <v>1975</v>
      </c>
      <c r="C23" s="1">
        <v>172.5</v>
      </c>
      <c r="D23" s="1">
        <v>9</v>
      </c>
      <c r="E23" s="1">
        <v>37.3</v>
      </c>
      <c r="F23" s="1">
        <v>55.9</v>
      </c>
    </row>
    <row r="24" spans="2:6" ht="15" customHeight="1">
      <c r="B24" s="48">
        <v>1976</v>
      </c>
      <c r="C24" s="1">
        <v>191.1</v>
      </c>
      <c r="D24" s="1">
        <v>9.4</v>
      </c>
      <c r="E24" s="1">
        <v>43.8</v>
      </c>
      <c r="F24" s="1">
        <v>54.7</v>
      </c>
    </row>
    <row r="25" spans="2:6" ht="15" customHeight="1">
      <c r="B25" s="48">
        <v>1977</v>
      </c>
      <c r="C25" s="1">
        <v>250.9</v>
      </c>
      <c r="D25" s="1">
        <v>11.8</v>
      </c>
      <c r="E25" s="1">
        <v>46.3</v>
      </c>
      <c r="F25" s="1">
        <v>63.3</v>
      </c>
    </row>
    <row r="26" spans="2:6" ht="15" customHeight="1">
      <c r="B26" s="48">
        <v>1978</v>
      </c>
      <c r="C26" s="1">
        <v>276.4</v>
      </c>
      <c r="D26" s="1">
        <v>12.5</v>
      </c>
      <c r="E26" s="1">
        <v>50.8</v>
      </c>
      <c r="F26" s="1">
        <v>64.5</v>
      </c>
    </row>
    <row r="27" spans="2:6" ht="15" customHeight="1">
      <c r="B27" s="48">
        <v>1979</v>
      </c>
      <c r="C27" s="1">
        <v>255.2</v>
      </c>
      <c r="D27" s="1">
        <v>11.3</v>
      </c>
      <c r="E27" s="1">
        <v>49.7</v>
      </c>
      <c r="F27" s="1">
        <v>58.4</v>
      </c>
    </row>
    <row r="28" spans="2:6" ht="15" customHeight="1">
      <c r="B28" s="48">
        <v>1980</v>
      </c>
      <c r="C28" s="1">
        <v>251.1</v>
      </c>
      <c r="D28" s="1">
        <v>11</v>
      </c>
      <c r="E28" s="1">
        <v>51.8</v>
      </c>
      <c r="F28" s="1">
        <v>56.3</v>
      </c>
    </row>
    <row r="29" spans="2:6" ht="15" customHeight="1">
      <c r="B29" s="48">
        <v>1981</v>
      </c>
      <c r="C29" s="1">
        <v>272.7</v>
      </c>
      <c r="D29" s="1">
        <v>11.9</v>
      </c>
      <c r="E29" s="1">
        <v>56</v>
      </c>
      <c r="F29" s="1">
        <v>58.2</v>
      </c>
    </row>
    <row r="30" spans="2:6" ht="15" customHeight="1">
      <c r="B30" s="48">
        <v>1982</v>
      </c>
      <c r="C30" s="1">
        <v>282.8</v>
      </c>
      <c r="D30" s="1">
        <v>12.6</v>
      </c>
      <c r="E30" s="1">
        <v>60</v>
      </c>
      <c r="F30" s="1">
        <v>56.6</v>
      </c>
    </row>
    <row r="31" spans="2:6" ht="15" customHeight="1">
      <c r="B31" s="48">
        <v>1983</v>
      </c>
      <c r="C31" s="1">
        <v>293.7</v>
      </c>
      <c r="D31" s="1">
        <v>12.7</v>
      </c>
      <c r="E31" s="1">
        <v>63</v>
      </c>
      <c r="F31" s="1">
        <v>54.4</v>
      </c>
    </row>
    <row r="32" spans="2:6" ht="15" customHeight="1">
      <c r="B32" s="48">
        <v>1984</v>
      </c>
      <c r="C32" s="1">
        <v>327.6</v>
      </c>
      <c r="D32" s="1">
        <v>13.5</v>
      </c>
      <c r="E32" s="1">
        <v>69.7</v>
      </c>
      <c r="F32" s="1">
        <v>56.3</v>
      </c>
    </row>
    <row r="33" spans="2:6" ht="15" customHeight="1">
      <c r="B33" s="48">
        <v>1985</v>
      </c>
      <c r="C33" s="1">
        <v>383.7</v>
      </c>
      <c r="D33" s="1">
        <v>15.5</v>
      </c>
      <c r="E33" s="1">
        <v>79.4</v>
      </c>
      <c r="F33" s="1">
        <v>58</v>
      </c>
    </row>
    <row r="34" spans="2:6" ht="15" customHeight="1">
      <c r="B34" s="48">
        <v>1986</v>
      </c>
      <c r="C34" s="1">
        <v>414</v>
      </c>
      <c r="D34" s="1">
        <v>16.6</v>
      </c>
      <c r="E34" s="1">
        <v>85.2</v>
      </c>
      <c r="F34" s="1">
        <v>56.9</v>
      </c>
    </row>
    <row r="35" spans="2:6" ht="15" customHeight="1">
      <c r="B35" s="48">
        <v>1987</v>
      </c>
      <c r="C35" s="1">
        <v>455.3</v>
      </c>
      <c r="D35" s="1">
        <v>17.7</v>
      </c>
      <c r="E35" s="1">
        <v>93.6</v>
      </c>
      <c r="F35" s="1">
        <v>57.4</v>
      </c>
    </row>
    <row r="36" spans="2:6" ht="15" customHeight="1">
      <c r="B36" s="48">
        <v>1988</v>
      </c>
      <c r="C36" s="1">
        <v>527</v>
      </c>
      <c r="D36" s="1">
        <v>19.5</v>
      </c>
      <c r="E36" s="1">
        <v>94.7</v>
      </c>
      <c r="F36" s="1">
        <v>63.5</v>
      </c>
    </row>
    <row r="37" spans="2:6" ht="15" customHeight="1">
      <c r="B37" s="48">
        <v>1989</v>
      </c>
      <c r="C37" s="1">
        <v>529.4</v>
      </c>
      <c r="D37" s="1">
        <v>17.8</v>
      </c>
      <c r="E37" s="1">
        <v>98.2</v>
      </c>
      <c r="F37" s="1">
        <v>62.2</v>
      </c>
    </row>
    <row r="38" spans="2:6" ht="15" customHeight="1">
      <c r="B38" s="48">
        <v>1990</v>
      </c>
      <c r="C38" s="1">
        <v>576.9</v>
      </c>
      <c r="D38" s="1">
        <v>19</v>
      </c>
      <c r="E38" s="1">
        <v>99.6</v>
      </c>
      <c r="F38" s="1">
        <v>66</v>
      </c>
    </row>
    <row r="39" spans="2:6" ht="15" customHeight="1">
      <c r="B39" s="48">
        <v>1991</v>
      </c>
      <c r="C39" s="1">
        <v>612.6</v>
      </c>
      <c r="D39" s="1">
        <v>19.9</v>
      </c>
      <c r="E39" s="1">
        <v>99.6</v>
      </c>
      <c r="F39" s="1">
        <v>70.2</v>
      </c>
    </row>
    <row r="40" spans="2:6" ht="15" customHeight="1">
      <c r="B40" s="48">
        <v>1992</v>
      </c>
      <c r="C40" s="1">
        <v>618.8</v>
      </c>
      <c r="D40" s="1">
        <v>20.1</v>
      </c>
      <c r="E40" s="1">
        <v>99</v>
      </c>
      <c r="F40" s="1">
        <v>70.9</v>
      </c>
    </row>
    <row r="41" spans="2:6" ht="15" customHeight="1">
      <c r="B41" s="48">
        <v>1993</v>
      </c>
      <c r="C41" s="1">
        <v>610.3</v>
      </c>
      <c r="D41" s="1">
        <v>19.1</v>
      </c>
      <c r="E41" s="1">
        <v>99</v>
      </c>
      <c r="F41" s="1">
        <v>70.5</v>
      </c>
    </row>
    <row r="42" spans="2:6" ht="15" customHeight="1">
      <c r="B42" s="48">
        <v>1994</v>
      </c>
      <c r="C42" s="1">
        <v>640.4</v>
      </c>
      <c r="D42" s="1">
        <v>19.7</v>
      </c>
      <c r="E42" s="1">
        <v>99.1</v>
      </c>
      <c r="F42" s="1">
        <v>73.8</v>
      </c>
    </row>
    <row r="43" spans="2:6" ht="15" customHeight="1">
      <c r="B43" s="48">
        <v>1995</v>
      </c>
      <c r="C43" s="1">
        <v>673.4</v>
      </c>
      <c r="D43" s="1">
        <v>20.1</v>
      </c>
      <c r="E43" s="1">
        <v>99.5</v>
      </c>
      <c r="F43" s="1">
        <v>77.4</v>
      </c>
    </row>
    <row r="44" spans="2:6" ht="15" customHeight="1">
      <c r="B44" s="48">
        <v>1996</v>
      </c>
      <c r="C44" s="1">
        <v>674.7</v>
      </c>
      <c r="D44" s="1">
        <v>19.6</v>
      </c>
      <c r="E44" s="1">
        <v>100.8</v>
      </c>
      <c r="F44" s="1">
        <v>76.2</v>
      </c>
    </row>
    <row r="45" spans="2:6" ht="15" customHeight="1">
      <c r="B45" s="48">
        <v>1997</v>
      </c>
      <c r="C45" s="1">
        <v>628.6</v>
      </c>
      <c r="D45" s="1">
        <v>18</v>
      </c>
      <c r="E45" s="1">
        <v>99.7</v>
      </c>
      <c r="F45" s="1">
        <v>71.1</v>
      </c>
    </row>
    <row r="46" spans="2:6" ht="15" customHeight="1">
      <c r="B46" s="48">
        <v>1998</v>
      </c>
      <c r="C46" s="1">
        <v>673.7</v>
      </c>
      <c r="D46" s="1">
        <v>18.6</v>
      </c>
      <c r="E46" s="1">
        <v>97.1</v>
      </c>
      <c r="F46" s="1">
        <v>78.2</v>
      </c>
    </row>
    <row r="47" spans="2:6" ht="15" customHeight="1">
      <c r="B47" s="48">
        <v>1999</v>
      </c>
      <c r="C47" s="1">
        <v>728.3</v>
      </c>
      <c r="D47" s="1">
        <v>19.7</v>
      </c>
      <c r="E47" s="1">
        <v>97.4</v>
      </c>
      <c r="F47" s="1">
        <v>85.3</v>
      </c>
    </row>
    <row r="48" spans="2:6" ht="15" customHeight="1">
      <c r="B48" s="48">
        <v>2000</v>
      </c>
      <c r="C48" s="1">
        <v>753.9</v>
      </c>
      <c r="D48" s="1">
        <v>19.8</v>
      </c>
      <c r="E48" s="1">
        <v>97.9</v>
      </c>
      <c r="F48" s="1">
        <v>88.1</v>
      </c>
    </row>
    <row r="49" spans="2:6" ht="15" customHeight="1">
      <c r="B49" s="48">
        <v>2001</v>
      </c>
      <c r="C49" s="1">
        <v>768.8</v>
      </c>
      <c r="D49" s="1">
        <v>20.6</v>
      </c>
      <c r="E49" s="1">
        <v>98.2</v>
      </c>
      <c r="F49" s="1">
        <v>89.4</v>
      </c>
    </row>
    <row r="50" spans="2:6" ht="15" customHeight="1">
      <c r="B50" s="48">
        <v>2002</v>
      </c>
      <c r="C50" s="1">
        <v>780.1</v>
      </c>
      <c r="D50" s="1">
        <v>20.2</v>
      </c>
      <c r="E50" s="1">
        <v>98.7</v>
      </c>
      <c r="F50" s="1">
        <v>90.3</v>
      </c>
    </row>
    <row r="51" spans="2:6" ht="15" customHeight="1">
      <c r="B51" s="48">
        <v>2003</v>
      </c>
      <c r="C51" s="1">
        <v>763.7</v>
      </c>
      <c r="D51" s="1">
        <v>19.7</v>
      </c>
      <c r="E51" s="1">
        <v>99.2</v>
      </c>
      <c r="F51" s="1">
        <v>87.9</v>
      </c>
    </row>
    <row r="52" spans="2:6" ht="15" customHeight="1">
      <c r="B52" s="48">
        <v>2004</v>
      </c>
      <c r="C52" s="1">
        <v>788.5</v>
      </c>
      <c r="D52" s="1">
        <v>19.9</v>
      </c>
      <c r="E52" s="1">
        <v>99.6</v>
      </c>
      <c r="F52" s="1">
        <v>90.1</v>
      </c>
    </row>
    <row r="53" spans="2:6" ht="15" customHeight="1">
      <c r="B53" s="48">
        <v>2005</v>
      </c>
      <c r="C53" s="1">
        <v>782</v>
      </c>
      <c r="D53" s="1">
        <v>19.3</v>
      </c>
      <c r="E53" s="1">
        <v>100</v>
      </c>
      <c r="F53" s="1">
        <v>89.3</v>
      </c>
    </row>
    <row r="54" spans="2:6" ht="15" customHeight="1">
      <c r="B54" s="48">
        <v>2006</v>
      </c>
      <c r="C54" s="1">
        <v>787.2</v>
      </c>
      <c r="D54" s="1">
        <v>19.4</v>
      </c>
      <c r="E54" s="1">
        <v>100.1</v>
      </c>
      <c r="F54" s="1">
        <v>89.9</v>
      </c>
    </row>
    <row r="55" ht="15" customHeight="1">
      <c r="B55" s="48"/>
    </row>
    <row r="56" ht="15" customHeight="1">
      <c r="B56" s="48"/>
    </row>
    <row r="57" ht="15" customHeight="1">
      <c r="B57" s="48"/>
    </row>
    <row r="58" ht="15" customHeight="1">
      <c r="B58" s="48"/>
    </row>
    <row r="59" ht="15" customHeight="1">
      <c r="B59" s="48"/>
    </row>
    <row r="60" ht="15" customHeight="1">
      <c r="B60" s="48"/>
    </row>
    <row r="61" ht="15" customHeight="1">
      <c r="B61" s="48"/>
    </row>
    <row r="62" ht="15" customHeight="1">
      <c r="B62" s="48"/>
    </row>
    <row r="63" ht="15" customHeight="1">
      <c r="B63" s="48"/>
    </row>
    <row r="64" ht="15" customHeight="1">
      <c r="B64" s="48"/>
    </row>
    <row r="65" ht="15" customHeight="1">
      <c r="B65" s="48"/>
    </row>
    <row r="66" ht="15" customHeight="1">
      <c r="B66" s="48"/>
    </row>
    <row r="67" ht="15" customHeight="1">
      <c r="B67" s="49"/>
    </row>
    <row r="68" ht="15" customHeight="1">
      <c r="B68" s="48"/>
    </row>
    <row r="69" ht="15" customHeight="1">
      <c r="B69" s="48"/>
    </row>
  </sheetData>
  <sheetProtection/>
  <printOptions/>
  <pageMargins left="0.7" right="0.7" top="0.3986111111111111" bottom="0.3986111111111111" header="0.3" footer="0.3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Nick Touran</cp:lastModifiedBy>
  <dcterms:created xsi:type="dcterms:W3CDTF">2006-09-16T05:00:00Z</dcterms:created>
  <dcterms:modified xsi:type="dcterms:W3CDTF">2008-12-12T16:19:06Z</dcterms:modified>
  <cp:category/>
  <cp:version/>
  <cp:contentType/>
  <cp:contentStatus/>
  <cp:revision>11</cp:revision>
</cp:coreProperties>
</file>